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codeName="ThisWorkbook" autoCompressPictures="0"/>
  <bookViews>
    <workbookView xWindow="0" yWindow="0" windowWidth="28800" windowHeight="16980" tabRatio="818"/>
  </bookViews>
  <sheets>
    <sheet name="Total_overview" sheetId="22" r:id="rId1"/>
    <sheet name="Real Estate" sheetId="18" r:id="rId2"/>
    <sheet name="Feasibility" sheetId="23" r:id="rId3"/>
    <sheet name="Energy Demand" sheetId="3" r:id="rId4"/>
    <sheet name="Water Demand" sheetId="12" r:id="rId5"/>
    <sheet name="Systems" sheetId="14" r:id="rId6"/>
    <sheet name="Rainwater collection Residentia" sheetId="16" r:id="rId7"/>
    <sheet name="Rainwater collection Office" sheetId="20" r:id="rId8"/>
    <sheet name="Rainwater collection Hotel" sheetId="21" r:id="rId9"/>
    <sheet name="Hidden input" sheetId="19" r:id="rId10"/>
  </sheets>
  <definedNames>
    <definedName name="Precipitation">'Hidden input'!$G$3:$G$12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8" l="1"/>
  <c r="F48" i="22"/>
  <c r="H48" i="22"/>
  <c r="D100" i="22"/>
  <c r="D49" i="22"/>
  <c r="F49" i="22"/>
  <c r="H49" i="22"/>
  <c r="D50" i="22"/>
  <c r="F50" i="22"/>
  <c r="H50" i="22"/>
  <c r="F51" i="22"/>
  <c r="H6" i="18"/>
  <c r="H12" i="18"/>
  <c r="H13" i="18"/>
  <c r="H16" i="18"/>
  <c r="D51" i="22"/>
  <c r="H51" i="22"/>
  <c r="H53" i="22"/>
  <c r="F56" i="22"/>
  <c r="D106" i="22"/>
  <c r="D56" i="22"/>
  <c r="H56" i="22"/>
  <c r="D105" i="22"/>
  <c r="D57" i="22"/>
  <c r="F57" i="22"/>
  <c r="H57" i="22"/>
  <c r="D58" i="22"/>
  <c r="F58" i="22"/>
  <c r="H58" i="22"/>
  <c r="D108" i="22"/>
  <c r="D59" i="22"/>
  <c r="F59" i="22"/>
  <c r="H59" i="22"/>
  <c r="H60" i="22"/>
  <c r="H61" i="22"/>
  <c r="H9" i="18"/>
  <c r="D63" i="22"/>
  <c r="H63" i="22"/>
  <c r="D64" i="22"/>
  <c r="H64" i="22"/>
  <c r="H65" i="22"/>
  <c r="F14" i="22"/>
  <c r="D68" i="22"/>
  <c r="H68" i="22"/>
  <c r="F15" i="22"/>
  <c r="D69" i="22"/>
  <c r="D16" i="22"/>
  <c r="F16" i="22"/>
  <c r="D70" i="22"/>
  <c r="H18" i="18"/>
  <c r="H25" i="18"/>
  <c r="H34" i="18"/>
  <c r="H42" i="18"/>
  <c r="H43" i="18"/>
  <c r="H45" i="18"/>
  <c r="H70" i="22"/>
  <c r="D17" i="22"/>
  <c r="F17" i="22"/>
  <c r="H52" i="18"/>
  <c r="H55" i="18"/>
  <c r="H56" i="18"/>
  <c r="H59" i="18"/>
  <c r="H61" i="18"/>
  <c r="F6" i="22"/>
  <c r="D18" i="22"/>
  <c r="F18" i="22"/>
  <c r="G120" i="22"/>
  <c r="D75" i="22"/>
  <c r="D87" i="22"/>
  <c r="K24" i="3"/>
  <c r="K25" i="3"/>
  <c r="K26" i="3"/>
  <c r="K28" i="3"/>
  <c r="F94" i="22"/>
  <c r="F87" i="22"/>
  <c r="H87" i="22"/>
  <c r="D77" i="22"/>
  <c r="D89" i="22"/>
  <c r="H88" i="22"/>
  <c r="H90" i="22"/>
  <c r="F35" i="22"/>
  <c r="G36" i="14"/>
  <c r="D15" i="14"/>
  <c r="D16" i="14"/>
  <c r="D20" i="14"/>
  <c r="D22" i="14"/>
  <c r="F37" i="22"/>
  <c r="F38" i="22"/>
  <c r="F19" i="22"/>
  <c r="F20" i="22"/>
  <c r="F22" i="22"/>
  <c r="F23" i="22"/>
  <c r="F26" i="22"/>
  <c r="J24" i="3"/>
  <c r="J25" i="3"/>
  <c r="J26" i="3"/>
  <c r="J28" i="3"/>
  <c r="F82" i="22"/>
  <c r="F75" i="22"/>
  <c r="H75" i="22"/>
  <c r="J18" i="3"/>
  <c r="J13" i="3"/>
  <c r="N8" i="3"/>
  <c r="N9" i="3"/>
  <c r="F9" i="22"/>
  <c r="H63" i="18"/>
  <c r="H54" i="18"/>
  <c r="H53" i="18"/>
  <c r="G51" i="18"/>
  <c r="G11" i="23"/>
  <c r="F8" i="22"/>
  <c r="F7" i="22"/>
  <c r="C8" i="23"/>
  <c r="E6" i="23"/>
  <c r="E4" i="23"/>
  <c r="E5" i="23"/>
  <c r="E7" i="23"/>
  <c r="O8" i="3"/>
  <c r="D112" i="22"/>
  <c r="D114" i="22"/>
  <c r="F20" i="14"/>
  <c r="E20" i="14"/>
  <c r="F16" i="14"/>
  <c r="F15" i="14"/>
  <c r="E16" i="14"/>
  <c r="E15" i="14"/>
  <c r="D93" i="22"/>
  <c r="D81" i="22"/>
  <c r="H76" i="22"/>
  <c r="D95" i="22"/>
  <c r="D15" i="22"/>
  <c r="D83" i="22"/>
  <c r="H82" i="22"/>
  <c r="O12" i="3"/>
  <c r="S12" i="3"/>
  <c r="U12" i="3"/>
  <c r="N12" i="3"/>
  <c r="R12" i="3"/>
  <c r="T12" i="3"/>
  <c r="S8" i="3"/>
  <c r="U8" i="3"/>
  <c r="R8" i="3"/>
  <c r="T8" i="3"/>
  <c r="R9" i="3"/>
  <c r="T9" i="3"/>
  <c r="D110" i="22"/>
  <c r="D111" i="22"/>
  <c r="E8" i="12"/>
  <c r="P118" i="22"/>
  <c r="F22" i="14"/>
  <c r="E22" i="14"/>
  <c r="E36" i="14"/>
  <c r="D8" i="12"/>
  <c r="D9" i="12"/>
  <c r="D10" i="12"/>
  <c r="D12" i="12"/>
  <c r="N9" i="12"/>
  <c r="D5" i="14"/>
  <c r="E22" i="12"/>
  <c r="O19" i="12"/>
  <c r="E24" i="12"/>
  <c r="D7" i="3"/>
  <c r="F93" i="22"/>
  <c r="H93" i="22"/>
  <c r="F81" i="22"/>
  <c r="H81" i="22"/>
  <c r="Q118" i="22"/>
  <c r="H41" i="18"/>
  <c r="F5" i="22"/>
  <c r="F10" i="22"/>
  <c r="K33" i="3"/>
  <c r="J33" i="3"/>
  <c r="H94" i="22"/>
  <c r="H78" i="22"/>
  <c r="H84" i="22"/>
  <c r="H96" i="22"/>
  <c r="F36" i="22"/>
  <c r="D115" i="22"/>
  <c r="J19" i="3"/>
  <c r="D116" i="22"/>
  <c r="D117" i="22"/>
  <c r="H28" i="18"/>
  <c r="I8" i="19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K64" i="21"/>
  <c r="I64" i="21"/>
  <c r="G64" i="21"/>
  <c r="F64" i="21"/>
  <c r="K63" i="21"/>
  <c r="I63" i="21"/>
  <c r="G63" i="21"/>
  <c r="F63" i="21"/>
  <c r="K62" i="21"/>
  <c r="I62" i="21"/>
  <c r="G62" i="21"/>
  <c r="F62" i="21"/>
  <c r="K61" i="21"/>
  <c r="I61" i="21"/>
  <c r="G61" i="21"/>
  <c r="F61" i="21"/>
  <c r="K60" i="21"/>
  <c r="I60" i="21"/>
  <c r="G60" i="21"/>
  <c r="F60" i="21"/>
  <c r="K59" i="21"/>
  <c r="I59" i="21"/>
  <c r="G59" i="21"/>
  <c r="F59" i="21"/>
  <c r="K58" i="21"/>
  <c r="I58" i="21"/>
  <c r="G58" i="21"/>
  <c r="F58" i="21"/>
  <c r="K57" i="21"/>
  <c r="I57" i="21"/>
  <c r="G57" i="21"/>
  <c r="F57" i="21"/>
  <c r="K56" i="21"/>
  <c r="I56" i="21"/>
  <c r="G56" i="21"/>
  <c r="F56" i="21"/>
  <c r="K55" i="21"/>
  <c r="I55" i="21"/>
  <c r="G55" i="21"/>
  <c r="F55" i="21"/>
  <c r="K54" i="21"/>
  <c r="I54" i="21"/>
  <c r="G54" i="21"/>
  <c r="F54" i="21"/>
  <c r="K53" i="21"/>
  <c r="I53" i="21"/>
  <c r="G53" i="21"/>
  <c r="F53" i="21"/>
  <c r="K52" i="21"/>
  <c r="I52" i="21"/>
  <c r="G52" i="21"/>
  <c r="F52" i="21"/>
  <c r="K51" i="21"/>
  <c r="I51" i="21"/>
  <c r="G51" i="21"/>
  <c r="F51" i="21"/>
  <c r="K50" i="21"/>
  <c r="I50" i="21"/>
  <c r="G50" i="21"/>
  <c r="F50" i="21"/>
  <c r="K49" i="21"/>
  <c r="I49" i="21"/>
  <c r="G49" i="21"/>
  <c r="F49" i="21"/>
  <c r="K48" i="21"/>
  <c r="I48" i="21"/>
  <c r="G48" i="21"/>
  <c r="F48" i="21"/>
  <c r="K47" i="21"/>
  <c r="I47" i="21"/>
  <c r="G47" i="21"/>
  <c r="F47" i="21"/>
  <c r="K46" i="21"/>
  <c r="I46" i="21"/>
  <c r="G46" i="21"/>
  <c r="F46" i="21"/>
  <c r="K45" i="21"/>
  <c r="I45" i="21"/>
  <c r="G45" i="21"/>
  <c r="F45" i="21"/>
  <c r="K44" i="21"/>
  <c r="I44" i="21"/>
  <c r="G44" i="21"/>
  <c r="F44" i="21"/>
  <c r="K43" i="21"/>
  <c r="I43" i="21"/>
  <c r="G43" i="21"/>
  <c r="F43" i="21"/>
  <c r="K42" i="21"/>
  <c r="I42" i="21"/>
  <c r="G42" i="21"/>
  <c r="F42" i="21"/>
  <c r="K41" i="21"/>
  <c r="I41" i="21"/>
  <c r="G41" i="21"/>
  <c r="F41" i="21"/>
  <c r="K40" i="21"/>
  <c r="I40" i="21"/>
  <c r="G40" i="21"/>
  <c r="F40" i="21"/>
  <c r="K39" i="21"/>
  <c r="I39" i="21"/>
  <c r="G39" i="21"/>
  <c r="F39" i="21"/>
  <c r="K38" i="21"/>
  <c r="I38" i="21"/>
  <c r="G38" i="21"/>
  <c r="F38" i="21"/>
  <c r="K37" i="21"/>
  <c r="I37" i="21"/>
  <c r="G37" i="21"/>
  <c r="F37" i="21"/>
  <c r="K36" i="21"/>
  <c r="I36" i="21"/>
  <c r="G36" i="21"/>
  <c r="F36" i="21"/>
  <c r="K35" i="21"/>
  <c r="I35" i="21"/>
  <c r="G35" i="21"/>
  <c r="F35" i="21"/>
  <c r="K34" i="21"/>
  <c r="I34" i="21"/>
  <c r="G34" i="21"/>
  <c r="F34" i="21"/>
  <c r="K33" i="21"/>
  <c r="I33" i="21"/>
  <c r="G33" i="21"/>
  <c r="F33" i="21"/>
  <c r="K32" i="21"/>
  <c r="I32" i="21"/>
  <c r="G32" i="21"/>
  <c r="F32" i="21"/>
  <c r="K31" i="21"/>
  <c r="I31" i="21"/>
  <c r="G31" i="21"/>
  <c r="F31" i="21"/>
  <c r="K30" i="21"/>
  <c r="I30" i="21"/>
  <c r="G30" i="21"/>
  <c r="F30" i="21"/>
  <c r="K29" i="21"/>
  <c r="I29" i="21"/>
  <c r="G29" i="21"/>
  <c r="F29" i="21"/>
  <c r="K28" i="21"/>
  <c r="I28" i="21"/>
  <c r="G28" i="21"/>
  <c r="F28" i="21"/>
  <c r="D28" i="21"/>
  <c r="D64" i="21"/>
  <c r="K27" i="21"/>
  <c r="I27" i="21"/>
  <c r="G27" i="21"/>
  <c r="F27" i="21"/>
  <c r="D27" i="21"/>
  <c r="D39" i="21"/>
  <c r="K26" i="21"/>
  <c r="I26" i="21"/>
  <c r="G26" i="21"/>
  <c r="F26" i="21"/>
  <c r="D26" i="21"/>
  <c r="D38" i="21"/>
  <c r="K25" i="21"/>
  <c r="I25" i="21"/>
  <c r="G25" i="21"/>
  <c r="F25" i="21"/>
  <c r="D25" i="21"/>
  <c r="K24" i="21"/>
  <c r="I24" i="21"/>
  <c r="G24" i="21"/>
  <c r="F24" i="21"/>
  <c r="D24" i="21"/>
  <c r="D60" i="21"/>
  <c r="K23" i="21"/>
  <c r="I23" i="21"/>
  <c r="G23" i="21"/>
  <c r="F23" i="21"/>
  <c r="D23" i="21"/>
  <c r="D35" i="21"/>
  <c r="K22" i="21"/>
  <c r="I22" i="21"/>
  <c r="G22" i="21"/>
  <c r="F22" i="21"/>
  <c r="D22" i="21"/>
  <c r="D34" i="21"/>
  <c r="K21" i="21"/>
  <c r="I21" i="21"/>
  <c r="G21" i="21"/>
  <c r="F21" i="21"/>
  <c r="D21" i="21"/>
  <c r="D57" i="21"/>
  <c r="K20" i="21"/>
  <c r="I20" i="21"/>
  <c r="G20" i="21"/>
  <c r="F20" i="21"/>
  <c r="D20" i="21"/>
  <c r="D56" i="21"/>
  <c r="K19" i="21"/>
  <c r="I19" i="21"/>
  <c r="G19" i="21"/>
  <c r="F19" i="21"/>
  <c r="D19" i="21"/>
  <c r="D55" i="21"/>
  <c r="K18" i="21"/>
  <c r="I18" i="21"/>
  <c r="G18" i="21"/>
  <c r="F18" i="21"/>
  <c r="D18" i="21"/>
  <c r="D42" i="21"/>
  <c r="K17" i="21"/>
  <c r="I17" i="21"/>
  <c r="G17" i="21"/>
  <c r="F17" i="21"/>
  <c r="D17" i="21"/>
  <c r="C17" i="21"/>
  <c r="G64" i="20"/>
  <c r="F64" i="20"/>
  <c r="G63" i="20"/>
  <c r="F63" i="20"/>
  <c r="G62" i="20"/>
  <c r="F62" i="20"/>
  <c r="G61" i="20"/>
  <c r="F61" i="20"/>
  <c r="G60" i="20"/>
  <c r="F60" i="20"/>
  <c r="G59" i="20"/>
  <c r="F59" i="20"/>
  <c r="G58" i="20"/>
  <c r="F58" i="20"/>
  <c r="G57" i="20"/>
  <c r="F57" i="20"/>
  <c r="G56" i="20"/>
  <c r="F56" i="20"/>
  <c r="G55" i="20"/>
  <c r="F55" i="20"/>
  <c r="G54" i="20"/>
  <c r="F54" i="20"/>
  <c r="G53" i="20"/>
  <c r="F53" i="20"/>
  <c r="G52" i="20"/>
  <c r="F52" i="20"/>
  <c r="G51" i="20"/>
  <c r="F51" i="20"/>
  <c r="G50" i="20"/>
  <c r="F50" i="20"/>
  <c r="G49" i="20"/>
  <c r="F49" i="20"/>
  <c r="G48" i="20"/>
  <c r="F48" i="20"/>
  <c r="G47" i="20"/>
  <c r="F47" i="20"/>
  <c r="G46" i="20"/>
  <c r="F46" i="20"/>
  <c r="G45" i="20"/>
  <c r="F45" i="20"/>
  <c r="G44" i="20"/>
  <c r="F44" i="20"/>
  <c r="G43" i="20"/>
  <c r="F43" i="20"/>
  <c r="G42" i="20"/>
  <c r="F42" i="20"/>
  <c r="G41" i="20"/>
  <c r="F41" i="20"/>
  <c r="G40" i="20"/>
  <c r="F40" i="20"/>
  <c r="G39" i="20"/>
  <c r="F39" i="20"/>
  <c r="G38" i="20"/>
  <c r="F38" i="20"/>
  <c r="G37" i="20"/>
  <c r="F37" i="20"/>
  <c r="G36" i="20"/>
  <c r="F36" i="20"/>
  <c r="G35" i="20"/>
  <c r="F35" i="20"/>
  <c r="G34" i="20"/>
  <c r="F34" i="20"/>
  <c r="G33" i="20"/>
  <c r="F33" i="20"/>
  <c r="G32" i="20"/>
  <c r="F32" i="20"/>
  <c r="G31" i="20"/>
  <c r="F31" i="20"/>
  <c r="G30" i="20"/>
  <c r="F30" i="20"/>
  <c r="G29" i="20"/>
  <c r="F29" i="20"/>
  <c r="G28" i="20"/>
  <c r="F28" i="20"/>
  <c r="D28" i="20"/>
  <c r="G27" i="20"/>
  <c r="F27" i="20"/>
  <c r="D27" i="20"/>
  <c r="G26" i="20"/>
  <c r="F26" i="20"/>
  <c r="D26" i="20"/>
  <c r="G25" i="20"/>
  <c r="F25" i="20"/>
  <c r="D25" i="20"/>
  <c r="D49" i="20"/>
  <c r="G24" i="20"/>
  <c r="F24" i="20"/>
  <c r="D24" i="20"/>
  <c r="G23" i="20"/>
  <c r="F23" i="20"/>
  <c r="D23" i="20"/>
  <c r="G22" i="20"/>
  <c r="F22" i="20"/>
  <c r="D22" i="20"/>
  <c r="G21" i="20"/>
  <c r="F21" i="20"/>
  <c r="D21" i="20"/>
  <c r="D57" i="20"/>
  <c r="G20" i="20"/>
  <c r="F20" i="20"/>
  <c r="D20" i="20"/>
  <c r="G19" i="20"/>
  <c r="F19" i="20"/>
  <c r="D19" i="20"/>
  <c r="D55" i="20"/>
  <c r="G18" i="20"/>
  <c r="F18" i="20"/>
  <c r="D18" i="20"/>
  <c r="G17" i="20"/>
  <c r="F17" i="20"/>
  <c r="D17" i="20"/>
  <c r="D29" i="20"/>
  <c r="C17" i="20"/>
  <c r="D62" i="21"/>
  <c r="D46" i="21"/>
  <c r="D31" i="21"/>
  <c r="D43" i="21"/>
  <c r="D50" i="21"/>
  <c r="D41" i="20"/>
  <c r="D45" i="20"/>
  <c r="D53" i="20"/>
  <c r="D61" i="20"/>
  <c r="D54" i="21"/>
  <c r="D58" i="21"/>
  <c r="D53" i="21"/>
  <c r="D41" i="21"/>
  <c r="D29" i="21"/>
  <c r="D59" i="21"/>
  <c r="D47" i="21"/>
  <c r="D61" i="21"/>
  <c r="D49" i="21"/>
  <c r="D63" i="21"/>
  <c r="D51" i="21"/>
  <c r="D33" i="21"/>
  <c r="D37" i="21"/>
  <c r="D45" i="21"/>
  <c r="D30" i="21"/>
  <c r="D32" i="21"/>
  <c r="D36" i="21"/>
  <c r="D40" i="21"/>
  <c r="D44" i="21"/>
  <c r="D48" i="21"/>
  <c r="D52" i="21"/>
  <c r="D54" i="20"/>
  <c r="D42" i="20"/>
  <c r="D56" i="20"/>
  <c r="D44" i="20"/>
  <c r="D58" i="20"/>
  <c r="D46" i="20"/>
  <c r="D60" i="20"/>
  <c r="D48" i="20"/>
  <c r="D62" i="20"/>
  <c r="D50" i="20"/>
  <c r="D38" i="20"/>
  <c r="D64" i="20"/>
  <c r="D52" i="20"/>
  <c r="D40" i="20"/>
  <c r="D32" i="20"/>
  <c r="D36" i="20"/>
  <c r="D30" i="20"/>
  <c r="D34" i="20"/>
  <c r="D59" i="20"/>
  <c r="D47" i="20"/>
  <c r="D63" i="20"/>
  <c r="D51" i="20"/>
  <c r="D31" i="20"/>
  <c r="D33" i="20"/>
  <c r="D35" i="20"/>
  <c r="D37" i="20"/>
  <c r="D39" i="20"/>
  <c r="D43" i="20"/>
  <c r="C8" i="19"/>
  <c r="D8" i="19"/>
  <c r="C4" i="19"/>
  <c r="D4" i="19"/>
  <c r="D28" i="16"/>
  <c r="D64" i="16"/>
  <c r="D27" i="16"/>
  <c r="D63" i="16"/>
  <c r="D26" i="16"/>
  <c r="D62" i="16"/>
  <c r="D25" i="16"/>
  <c r="D61" i="16"/>
  <c r="D24" i="16"/>
  <c r="D60" i="16"/>
  <c r="D23" i="16"/>
  <c r="D59" i="16"/>
  <c r="D22" i="16"/>
  <c r="D58" i="16"/>
  <c r="D21" i="16"/>
  <c r="D57" i="16"/>
  <c r="D20" i="16"/>
  <c r="D56" i="16"/>
  <c r="D19" i="16"/>
  <c r="D55" i="16"/>
  <c r="D18" i="16"/>
  <c r="D54" i="16"/>
  <c r="D17" i="16"/>
  <c r="D53" i="16"/>
  <c r="D38" i="16"/>
  <c r="D34" i="16"/>
  <c r="D30" i="16"/>
  <c r="D50" i="16"/>
  <c r="D46" i="16"/>
  <c r="D42" i="16"/>
  <c r="D40" i="16"/>
  <c r="D36" i="16"/>
  <c r="D32" i="16"/>
  <c r="D52" i="16"/>
  <c r="D48" i="16"/>
  <c r="D44" i="16"/>
  <c r="D39" i="16"/>
  <c r="D37" i="16"/>
  <c r="D35" i="16"/>
  <c r="D33" i="16"/>
  <c r="D31" i="16"/>
  <c r="D29" i="16"/>
  <c r="D51" i="16"/>
  <c r="D49" i="16"/>
  <c r="D47" i="16"/>
  <c r="D45" i="16"/>
  <c r="D43" i="16"/>
  <c r="D41" i="16"/>
  <c r="H10" i="18"/>
  <c r="G9" i="18"/>
  <c r="H11" i="18"/>
  <c r="C17" i="16"/>
  <c r="H37" i="18"/>
  <c r="F7" i="21"/>
  <c r="H35" i="18"/>
  <c r="H20" i="18"/>
  <c r="F65" i="22"/>
  <c r="D14" i="22"/>
  <c r="D14" i="14"/>
  <c r="H36" i="18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F6" i="23"/>
  <c r="G6" i="23"/>
  <c r="H6" i="23"/>
  <c r="F7" i="23"/>
  <c r="G7" i="23"/>
  <c r="H7" i="23"/>
  <c r="F5" i="23"/>
  <c r="G5" i="23"/>
  <c r="H5" i="23"/>
  <c r="F4" i="23"/>
  <c r="G4" i="23"/>
  <c r="H4" i="23"/>
  <c r="F7" i="16"/>
  <c r="E26" i="16"/>
  <c r="F26" i="16"/>
  <c r="F7" i="20"/>
  <c r="E33" i="20"/>
  <c r="H33" i="20"/>
  <c r="S16" i="3"/>
  <c r="U16" i="3"/>
  <c r="K29" i="3"/>
  <c r="S30" i="3"/>
  <c r="S31" i="3"/>
  <c r="R30" i="3"/>
  <c r="R31" i="3"/>
  <c r="O30" i="3"/>
  <c r="O31" i="3"/>
  <c r="O16" i="3"/>
  <c r="R26" i="3"/>
  <c r="R27" i="3"/>
  <c r="N30" i="3"/>
  <c r="N31" i="3"/>
  <c r="N13" i="3"/>
  <c r="S26" i="3"/>
  <c r="S27" i="3"/>
  <c r="O26" i="3"/>
  <c r="O27" i="3"/>
  <c r="N26" i="3"/>
  <c r="O13" i="3"/>
  <c r="N16" i="3"/>
  <c r="N17" i="3"/>
  <c r="S22" i="3"/>
  <c r="S23" i="3"/>
  <c r="R22" i="3"/>
  <c r="R23" i="3"/>
  <c r="O22" i="3"/>
  <c r="O23" i="3"/>
  <c r="R16" i="3"/>
  <c r="T16" i="3"/>
  <c r="J29" i="3"/>
  <c r="O9" i="3"/>
  <c r="N22" i="3"/>
  <c r="S9" i="3"/>
  <c r="U9" i="3"/>
  <c r="E63" i="21"/>
  <c r="H63" i="21"/>
  <c r="E18" i="21"/>
  <c r="H18" i="21"/>
  <c r="E26" i="21"/>
  <c r="H26" i="21"/>
  <c r="E24" i="21"/>
  <c r="H24" i="21"/>
  <c r="E36" i="21"/>
  <c r="H36" i="21"/>
  <c r="E47" i="21"/>
  <c r="H47" i="21"/>
  <c r="E64" i="21"/>
  <c r="H64" i="21"/>
  <c r="E60" i="21"/>
  <c r="H60" i="21"/>
  <c r="E56" i="21"/>
  <c r="H56" i="21"/>
  <c r="E52" i="21"/>
  <c r="H52" i="21"/>
  <c r="E48" i="21"/>
  <c r="H48" i="21"/>
  <c r="E61" i="21"/>
  <c r="H61" i="21"/>
  <c r="E53" i="21"/>
  <c r="H53" i="21"/>
  <c r="E45" i="21"/>
  <c r="H45" i="21"/>
  <c r="E41" i="21"/>
  <c r="H41" i="21"/>
  <c r="E37" i="21"/>
  <c r="H37" i="21"/>
  <c r="E33" i="21"/>
  <c r="H33" i="21"/>
  <c r="E29" i="21"/>
  <c r="H29" i="21"/>
  <c r="E25" i="21"/>
  <c r="H25" i="21"/>
  <c r="E21" i="21"/>
  <c r="H21" i="21"/>
  <c r="E59" i="21"/>
  <c r="H59" i="21"/>
  <c r="E42" i="21"/>
  <c r="H42" i="21"/>
  <c r="E34" i="21"/>
  <c r="H34" i="21"/>
  <c r="E17" i="21"/>
  <c r="H17" i="21"/>
  <c r="E40" i="21"/>
  <c r="H40" i="21"/>
  <c r="E22" i="21"/>
  <c r="H22" i="21"/>
  <c r="E20" i="21"/>
  <c r="H20" i="21"/>
  <c r="E28" i="21"/>
  <c r="H28" i="21"/>
  <c r="E44" i="21"/>
  <c r="H44" i="21"/>
  <c r="E55" i="21"/>
  <c r="H55" i="21"/>
  <c r="E62" i="21"/>
  <c r="H62" i="21"/>
  <c r="E58" i="21"/>
  <c r="H58" i="21"/>
  <c r="E54" i="21"/>
  <c r="H54" i="21"/>
  <c r="E50" i="21"/>
  <c r="H50" i="21"/>
  <c r="E46" i="21"/>
  <c r="H46" i="21"/>
  <c r="E57" i="21"/>
  <c r="H57" i="21"/>
  <c r="E49" i="21"/>
  <c r="H49" i="21"/>
  <c r="E43" i="21"/>
  <c r="H43" i="21"/>
  <c r="E39" i="21"/>
  <c r="H39" i="21"/>
  <c r="E35" i="21"/>
  <c r="H35" i="21"/>
  <c r="E31" i="21"/>
  <c r="H31" i="21"/>
  <c r="E27" i="21"/>
  <c r="H27" i="21"/>
  <c r="E23" i="21"/>
  <c r="H23" i="21"/>
  <c r="E19" i="21"/>
  <c r="H19" i="21"/>
  <c r="E51" i="21"/>
  <c r="H51" i="21"/>
  <c r="E38" i="21"/>
  <c r="H38" i="21"/>
  <c r="E30" i="21"/>
  <c r="H30" i="21"/>
  <c r="E32" i="21"/>
  <c r="H32" i="21"/>
  <c r="N23" i="3"/>
  <c r="N27" i="3"/>
  <c r="O17" i="3"/>
  <c r="H8" i="23"/>
  <c r="G8" i="23"/>
  <c r="H65" i="21"/>
  <c r="P27" i="12"/>
  <c r="R17" i="3"/>
  <c r="T17" i="3"/>
  <c r="R13" i="3"/>
  <c r="T13" i="3"/>
  <c r="E50" i="20"/>
  <c r="H50" i="20"/>
  <c r="E53" i="20"/>
  <c r="H53" i="20"/>
  <c r="E20" i="20"/>
  <c r="H20" i="20"/>
  <c r="E54" i="20"/>
  <c r="H54" i="20"/>
  <c r="E36" i="20"/>
  <c r="H36" i="20"/>
  <c r="E52" i="20"/>
  <c r="H52" i="20"/>
  <c r="E39" i="20"/>
  <c r="H39" i="20"/>
  <c r="E35" i="20"/>
  <c r="H35" i="20"/>
  <c r="E42" i="20"/>
  <c r="H42" i="20"/>
  <c r="E19" i="20"/>
  <c r="H19" i="20"/>
  <c r="E59" i="20"/>
  <c r="H59" i="20"/>
  <c r="E48" i="20"/>
  <c r="H48" i="20"/>
  <c r="E57" i="20"/>
  <c r="H57" i="20"/>
  <c r="E31" i="20"/>
  <c r="H31" i="20"/>
  <c r="E24" i="20"/>
  <c r="H24" i="20"/>
  <c r="E29" i="20"/>
  <c r="H29" i="20"/>
  <c r="E64" i="20"/>
  <c r="H64" i="20"/>
  <c r="E56" i="20"/>
  <c r="H56" i="20"/>
  <c r="E27" i="20"/>
  <c r="H27" i="20"/>
  <c r="E28" i="20"/>
  <c r="H28" i="20"/>
  <c r="E51" i="20"/>
  <c r="H51" i="20"/>
  <c r="E25" i="20"/>
  <c r="H25" i="20"/>
  <c r="E40" i="20"/>
  <c r="H40" i="20"/>
  <c r="E21" i="20"/>
  <c r="H21" i="20"/>
  <c r="E34" i="20"/>
  <c r="H34" i="20"/>
  <c r="E49" i="20"/>
  <c r="H49" i="20"/>
  <c r="E38" i="20"/>
  <c r="H38" i="20"/>
  <c r="E23" i="20"/>
  <c r="H23" i="20"/>
  <c r="E62" i="20"/>
  <c r="H62" i="20"/>
  <c r="E32" i="20"/>
  <c r="H32" i="20"/>
  <c r="E45" i="20"/>
  <c r="H45" i="20"/>
  <c r="E55" i="20"/>
  <c r="H55" i="20"/>
  <c r="E22" i="20"/>
  <c r="H22" i="20"/>
  <c r="E18" i="20"/>
  <c r="H18" i="20"/>
  <c r="E43" i="20"/>
  <c r="H43" i="20"/>
  <c r="E17" i="20"/>
  <c r="H17" i="20"/>
  <c r="E44" i="20"/>
  <c r="H44" i="20"/>
  <c r="E60" i="20"/>
  <c r="H60" i="20"/>
  <c r="E30" i="20"/>
  <c r="H30" i="20"/>
  <c r="E26" i="20"/>
  <c r="H26" i="20"/>
  <c r="E61" i="20"/>
  <c r="H61" i="20"/>
  <c r="E46" i="20"/>
  <c r="H46" i="20"/>
  <c r="E58" i="20"/>
  <c r="H58" i="20"/>
  <c r="E37" i="20"/>
  <c r="H37" i="20"/>
  <c r="E60" i="16"/>
  <c r="F60" i="16"/>
  <c r="E41" i="20"/>
  <c r="H41" i="20"/>
  <c r="E47" i="20"/>
  <c r="H47" i="20"/>
  <c r="E63" i="20"/>
  <c r="H63" i="20"/>
  <c r="E44" i="16"/>
  <c r="F44" i="16"/>
  <c r="E47" i="16"/>
  <c r="F47" i="16"/>
  <c r="E64" i="16"/>
  <c r="F64" i="16"/>
  <c r="E30" i="16"/>
  <c r="F30" i="16"/>
  <c r="E50" i="16"/>
  <c r="F50" i="16"/>
  <c r="E33" i="16"/>
  <c r="F33" i="16"/>
  <c r="E48" i="16"/>
  <c r="F48" i="16"/>
  <c r="E51" i="16"/>
  <c r="F51" i="16"/>
  <c r="E19" i="16"/>
  <c r="F19" i="16"/>
  <c r="E39" i="16"/>
  <c r="F39" i="16"/>
  <c r="E56" i="16"/>
  <c r="F56" i="16"/>
  <c r="E24" i="16"/>
  <c r="F24" i="16"/>
  <c r="E63" i="16"/>
  <c r="F63" i="16"/>
  <c r="E43" i="16"/>
  <c r="F43" i="16"/>
  <c r="E42" i="16"/>
  <c r="F42" i="16"/>
  <c r="E36" i="16"/>
  <c r="F36" i="16"/>
  <c r="E52" i="16"/>
  <c r="F52" i="16"/>
  <c r="E20" i="16"/>
  <c r="F20" i="16"/>
  <c r="E59" i="16"/>
  <c r="F59" i="16"/>
  <c r="E23" i="16"/>
  <c r="F23" i="16"/>
  <c r="E37" i="16"/>
  <c r="F37" i="16"/>
  <c r="E58" i="16"/>
  <c r="F58" i="16"/>
  <c r="E57" i="16"/>
  <c r="F57" i="16"/>
  <c r="E41" i="16"/>
  <c r="F41" i="16"/>
  <c r="E32" i="16"/>
  <c r="F32" i="16"/>
  <c r="E53" i="16"/>
  <c r="F53" i="16"/>
  <c r="E35" i="16"/>
  <c r="F35" i="16"/>
  <c r="E34" i="16"/>
  <c r="F34" i="16"/>
  <c r="E21" i="16"/>
  <c r="F21" i="16"/>
  <c r="E29" i="16"/>
  <c r="F29" i="16"/>
  <c r="E28" i="16"/>
  <c r="F28" i="16"/>
  <c r="E38" i="16"/>
  <c r="F38" i="16"/>
  <c r="E55" i="16"/>
  <c r="F55" i="16"/>
  <c r="E27" i="16"/>
  <c r="F27" i="16"/>
  <c r="E40" i="16"/>
  <c r="F40" i="16"/>
  <c r="E22" i="16"/>
  <c r="F22" i="16"/>
  <c r="E49" i="16"/>
  <c r="F49" i="16"/>
  <c r="E54" i="16"/>
  <c r="F54" i="16"/>
  <c r="E25" i="16"/>
  <c r="F25" i="16"/>
  <c r="E46" i="16"/>
  <c r="F46" i="16"/>
  <c r="E17" i="16"/>
  <c r="F17" i="16"/>
  <c r="E31" i="16"/>
  <c r="F31" i="16"/>
  <c r="E18" i="16"/>
  <c r="F18" i="16"/>
  <c r="E61" i="16"/>
  <c r="F61" i="16"/>
  <c r="E62" i="16"/>
  <c r="F62" i="16"/>
  <c r="E45" i="16"/>
  <c r="F45" i="16"/>
  <c r="S13" i="3"/>
  <c r="U13" i="3"/>
  <c r="S17" i="3"/>
  <c r="U17" i="3"/>
  <c r="H10" i="23"/>
  <c r="K30" i="3"/>
  <c r="J30" i="3"/>
  <c r="F65" i="16"/>
  <c r="N27" i="12"/>
  <c r="H65" i="20"/>
  <c r="J9" i="12"/>
  <c r="N14" i="12"/>
  <c r="D10" i="14"/>
  <c r="D19" i="14"/>
  <c r="E9" i="12"/>
  <c r="G10" i="12"/>
  <c r="E10" i="12"/>
  <c r="E11" i="12"/>
  <c r="D15" i="12"/>
  <c r="N10" i="12"/>
  <c r="N34" i="12"/>
  <c r="E13" i="12"/>
  <c r="E14" i="12"/>
  <c r="K9" i="12"/>
  <c r="N23" i="12"/>
  <c r="C6" i="19"/>
  <c r="D6" i="19"/>
  <c r="E20" i="12"/>
  <c r="E21" i="12"/>
  <c r="O18" i="12"/>
  <c r="O29" i="12"/>
  <c r="O32" i="12"/>
  <c r="K22" i="12"/>
  <c r="O23" i="12"/>
  <c r="D27" i="12"/>
  <c r="D28" i="12"/>
  <c r="D31" i="12"/>
  <c r="D32" i="12"/>
  <c r="H44" i="12"/>
  <c r="D46" i="12"/>
  <c r="D29" i="12"/>
  <c r="H46" i="12"/>
  <c r="D24" i="12"/>
  <c r="C5" i="19"/>
  <c r="H50" i="12"/>
  <c r="D22" i="12"/>
  <c r="D6" i="14"/>
  <c r="D17" i="14"/>
  <c r="K21" i="12"/>
  <c r="O22" i="12"/>
  <c r="J22" i="12"/>
  <c r="O14" i="12"/>
  <c r="E10" i="14"/>
  <c r="O10" i="12"/>
  <c r="G22" i="12"/>
  <c r="J27" i="12"/>
  <c r="P14" i="12"/>
  <c r="F10" i="14"/>
  <c r="F19" i="14"/>
  <c r="D33" i="12"/>
  <c r="P10" i="12"/>
  <c r="J8" i="12"/>
  <c r="N13" i="12"/>
  <c r="D9" i="14"/>
  <c r="D18" i="14"/>
  <c r="D54" i="12"/>
  <c r="D5" i="19"/>
  <c r="F11" i="20"/>
  <c r="E15" i="12"/>
  <c r="N19" i="12"/>
  <c r="H51" i="12"/>
  <c r="D20" i="12"/>
  <c r="E12" i="12"/>
  <c r="N18" i="12"/>
  <c r="N29" i="12"/>
  <c r="N32" i="12"/>
  <c r="K8" i="12"/>
  <c r="N22" i="12"/>
  <c r="J26" i="12"/>
  <c r="P13" i="12"/>
  <c r="F9" i="14"/>
  <c r="F18" i="14"/>
  <c r="D30" i="12"/>
  <c r="E6" i="14"/>
  <c r="O34" i="12"/>
  <c r="F6" i="14"/>
  <c r="F17" i="14"/>
  <c r="P34" i="12"/>
  <c r="I64" i="20"/>
  <c r="I60" i="20"/>
  <c r="I56" i="20"/>
  <c r="I52" i="20"/>
  <c r="I48" i="20"/>
  <c r="I44" i="20"/>
  <c r="I40" i="20"/>
  <c r="I36" i="20"/>
  <c r="I32" i="20"/>
  <c r="I28" i="20"/>
  <c r="I24" i="20"/>
  <c r="I20" i="20"/>
  <c r="I62" i="20"/>
  <c r="I54" i="20"/>
  <c r="I46" i="20"/>
  <c r="I42" i="20"/>
  <c r="I34" i="20"/>
  <c r="I26" i="20"/>
  <c r="I18" i="20"/>
  <c r="I61" i="20"/>
  <c r="I53" i="20"/>
  <c r="I49" i="20"/>
  <c r="I41" i="20"/>
  <c r="I33" i="20"/>
  <c r="I25" i="20"/>
  <c r="I17" i="20"/>
  <c r="I63" i="20"/>
  <c r="I59" i="20"/>
  <c r="I55" i="20"/>
  <c r="I51" i="20"/>
  <c r="I47" i="20"/>
  <c r="I43" i="20"/>
  <c r="I39" i="20"/>
  <c r="I35" i="20"/>
  <c r="I31" i="20"/>
  <c r="I27" i="20"/>
  <c r="I23" i="20"/>
  <c r="I19" i="20"/>
  <c r="I58" i="20"/>
  <c r="I50" i="20"/>
  <c r="I38" i="20"/>
  <c r="I30" i="20"/>
  <c r="I22" i="20"/>
  <c r="I57" i="20"/>
  <c r="I45" i="20"/>
  <c r="I37" i="20"/>
  <c r="I29" i="20"/>
  <c r="I21" i="20"/>
  <c r="Q14" i="12"/>
  <c r="Q10" i="12"/>
  <c r="G21" i="12"/>
  <c r="O9" i="12"/>
  <c r="P9" i="12"/>
  <c r="D17" i="12"/>
  <c r="N28" i="12"/>
  <c r="N31" i="12"/>
  <c r="N33" i="12"/>
  <c r="D35" i="12"/>
  <c r="J21" i="12"/>
  <c r="O13" i="12"/>
  <c r="J17" i="20"/>
  <c r="K17" i="20"/>
  <c r="L17" i="20"/>
  <c r="C18" i="20"/>
  <c r="O28" i="12"/>
  <c r="O31" i="12"/>
  <c r="O33" i="12"/>
  <c r="E5" i="14"/>
  <c r="Q13" i="12"/>
  <c r="E9" i="14"/>
  <c r="P28" i="12"/>
  <c r="P31" i="12"/>
  <c r="P33" i="12"/>
  <c r="F5" i="14"/>
  <c r="F14" i="14"/>
  <c r="Q9" i="12"/>
  <c r="C3" i="19"/>
  <c r="G20" i="12"/>
  <c r="G32" i="12"/>
  <c r="E32" i="12"/>
  <c r="K27" i="12"/>
  <c r="P23" i="12"/>
  <c r="Q23" i="12"/>
  <c r="G31" i="12"/>
  <c r="E31" i="12"/>
  <c r="G28" i="12"/>
  <c r="E28" i="12"/>
  <c r="G29" i="12"/>
  <c r="E29" i="12"/>
  <c r="G27" i="12"/>
  <c r="E27" i="12"/>
  <c r="K26" i="12"/>
  <c r="P22" i="12"/>
  <c r="Q22" i="12"/>
  <c r="G30" i="12"/>
  <c r="E30" i="12"/>
  <c r="P18" i="12"/>
  <c r="G33" i="12"/>
  <c r="E33" i="12"/>
  <c r="P19" i="12"/>
  <c r="Q19" i="12"/>
  <c r="C7" i="19"/>
  <c r="J18" i="20"/>
  <c r="K18" i="20"/>
  <c r="L18" i="20"/>
  <c r="C19" i="20"/>
  <c r="J19" i="20"/>
  <c r="K19" i="20"/>
  <c r="L19" i="20"/>
  <c r="C20" i="20"/>
  <c r="J20" i="20"/>
  <c r="K20" i="20"/>
  <c r="L20" i="20"/>
  <c r="C21" i="20"/>
  <c r="J21" i="20"/>
  <c r="K21" i="20"/>
  <c r="L21" i="20"/>
  <c r="C22" i="20"/>
  <c r="J22" i="20"/>
  <c r="K22" i="20"/>
  <c r="L22" i="20"/>
  <c r="C23" i="20"/>
  <c r="J23" i="20"/>
  <c r="K23" i="20"/>
  <c r="L23" i="20"/>
  <c r="C24" i="20"/>
  <c r="J24" i="20"/>
  <c r="K24" i="20"/>
  <c r="L24" i="20"/>
  <c r="C25" i="20"/>
  <c r="J25" i="20"/>
  <c r="K25" i="20"/>
  <c r="L25" i="20"/>
  <c r="C26" i="20"/>
  <c r="J26" i="20"/>
  <c r="K26" i="20"/>
  <c r="L26" i="20"/>
  <c r="C27" i="20"/>
  <c r="J27" i="20"/>
  <c r="K27" i="20"/>
  <c r="L27" i="20"/>
  <c r="C28" i="20"/>
  <c r="J28" i="20"/>
  <c r="K28" i="20"/>
  <c r="L28" i="20"/>
  <c r="C29" i="20"/>
  <c r="J29" i="20"/>
  <c r="K29" i="20"/>
  <c r="L29" i="20"/>
  <c r="C30" i="20"/>
  <c r="J30" i="20"/>
  <c r="K30" i="20"/>
  <c r="L30" i="20"/>
  <c r="C31" i="20"/>
  <c r="J31" i="20"/>
  <c r="K31" i="20"/>
  <c r="L31" i="20"/>
  <c r="C32" i="20"/>
  <c r="J32" i="20"/>
  <c r="K32" i="20"/>
  <c r="L32" i="20"/>
  <c r="C33" i="20"/>
  <c r="J33" i="20"/>
  <c r="K33" i="20"/>
  <c r="L33" i="20"/>
  <c r="C34" i="20"/>
  <c r="J34" i="20"/>
  <c r="K34" i="20"/>
  <c r="L34" i="20"/>
  <c r="C35" i="20"/>
  <c r="J35" i="20"/>
  <c r="K35" i="20"/>
  <c r="L35" i="20"/>
  <c r="C36" i="20"/>
  <c r="J36" i="20"/>
  <c r="K36" i="20"/>
  <c r="L36" i="20"/>
  <c r="C37" i="20"/>
  <c r="J37" i="20"/>
  <c r="K37" i="20"/>
  <c r="L37" i="20"/>
  <c r="C38" i="20"/>
  <c r="J38" i="20"/>
  <c r="K38" i="20"/>
  <c r="L38" i="20"/>
  <c r="C39" i="20"/>
  <c r="J39" i="20"/>
  <c r="K39" i="20"/>
  <c r="L39" i="20"/>
  <c r="C40" i="20"/>
  <c r="J40" i="20"/>
  <c r="K40" i="20"/>
  <c r="L40" i="20"/>
  <c r="C41" i="20"/>
  <c r="J41" i="20"/>
  <c r="K41" i="20"/>
  <c r="L41" i="20"/>
  <c r="C42" i="20"/>
  <c r="J42" i="20"/>
  <c r="K42" i="20"/>
  <c r="L42" i="20"/>
  <c r="C43" i="20"/>
  <c r="J43" i="20"/>
  <c r="K43" i="20"/>
  <c r="L43" i="20"/>
  <c r="C44" i="20"/>
  <c r="J44" i="20"/>
  <c r="K44" i="20"/>
  <c r="L44" i="20"/>
  <c r="C45" i="20"/>
  <c r="J45" i="20"/>
  <c r="K45" i="20"/>
  <c r="L45" i="20"/>
  <c r="C46" i="20"/>
  <c r="J46" i="20"/>
  <c r="K46" i="20"/>
  <c r="L46" i="20"/>
  <c r="C47" i="20"/>
  <c r="J47" i="20"/>
  <c r="K47" i="20"/>
  <c r="L47" i="20"/>
  <c r="C48" i="20"/>
  <c r="J48" i="20"/>
  <c r="K48" i="20"/>
  <c r="L48" i="20"/>
  <c r="C49" i="20"/>
  <c r="J49" i="20"/>
  <c r="K49" i="20"/>
  <c r="L49" i="20"/>
  <c r="C50" i="20"/>
  <c r="J50" i="20"/>
  <c r="K50" i="20"/>
  <c r="L50" i="20"/>
  <c r="C51" i="20"/>
  <c r="J51" i="20"/>
  <c r="K51" i="20"/>
  <c r="L51" i="20"/>
  <c r="C52" i="20"/>
  <c r="J52" i="20"/>
  <c r="K52" i="20"/>
  <c r="L52" i="20"/>
  <c r="C53" i="20"/>
  <c r="J53" i="20"/>
  <c r="K53" i="20"/>
  <c r="L53" i="20"/>
  <c r="C54" i="20"/>
  <c r="J54" i="20"/>
  <c r="K54" i="20"/>
  <c r="L54" i="20"/>
  <c r="C55" i="20"/>
  <c r="J55" i="20"/>
  <c r="K55" i="20"/>
  <c r="L55" i="20"/>
  <c r="C56" i="20"/>
  <c r="J56" i="20"/>
  <c r="K56" i="20"/>
  <c r="L56" i="20"/>
  <c r="C57" i="20"/>
  <c r="J57" i="20"/>
  <c r="K57" i="20"/>
  <c r="L57" i="20"/>
  <c r="C58" i="20"/>
  <c r="J58" i="20"/>
  <c r="K58" i="20"/>
  <c r="L58" i="20"/>
  <c r="C59" i="20"/>
  <c r="J59" i="20"/>
  <c r="K59" i="20"/>
  <c r="L59" i="20"/>
  <c r="C60" i="20"/>
  <c r="J60" i="20"/>
  <c r="K60" i="20"/>
  <c r="L60" i="20"/>
  <c r="C61" i="20"/>
  <c r="J61" i="20"/>
  <c r="K61" i="20"/>
  <c r="L61" i="20"/>
  <c r="C62" i="20"/>
  <c r="J62" i="20"/>
  <c r="K62" i="20"/>
  <c r="L62" i="20"/>
  <c r="C63" i="20"/>
  <c r="J63" i="20"/>
  <c r="K63" i="20"/>
  <c r="L63" i="20"/>
  <c r="C64" i="20"/>
  <c r="J64" i="20"/>
  <c r="K64" i="20"/>
  <c r="L64" i="20"/>
  <c r="P29" i="12"/>
  <c r="P32" i="12"/>
  <c r="Q18" i="12"/>
  <c r="F11" i="16"/>
  <c r="D3" i="19"/>
  <c r="F11" i="21"/>
  <c r="D7" i="19"/>
  <c r="G64" i="16"/>
  <c r="G60" i="16"/>
  <c r="G56" i="16"/>
  <c r="G52" i="16"/>
  <c r="G48" i="16"/>
  <c r="G44" i="16"/>
  <c r="G40" i="16"/>
  <c r="G36" i="16"/>
  <c r="G32" i="16"/>
  <c r="G28" i="16"/>
  <c r="G24" i="16"/>
  <c r="G20" i="16"/>
  <c r="G43" i="16"/>
  <c r="G39" i="16"/>
  <c r="G31" i="16"/>
  <c r="G27" i="16"/>
  <c r="G19" i="16"/>
  <c r="G58" i="16"/>
  <c r="G50" i="16"/>
  <c r="G42" i="16"/>
  <c r="G34" i="16"/>
  <c r="G30" i="16"/>
  <c r="G22" i="16"/>
  <c r="G57" i="16"/>
  <c r="G49" i="16"/>
  <c r="G41" i="16"/>
  <c r="G33" i="16"/>
  <c r="G25" i="16"/>
  <c r="G21" i="16"/>
  <c r="G63" i="16"/>
  <c r="G59" i="16"/>
  <c r="G55" i="16"/>
  <c r="G51" i="16"/>
  <c r="G47" i="16"/>
  <c r="G35" i="16"/>
  <c r="G23" i="16"/>
  <c r="G62" i="16"/>
  <c r="G54" i="16"/>
  <c r="G46" i="16"/>
  <c r="G38" i="16"/>
  <c r="G26" i="16"/>
  <c r="G18" i="16"/>
  <c r="G61" i="16"/>
  <c r="G53" i="16"/>
  <c r="G45" i="16"/>
  <c r="G37" i="16"/>
  <c r="G29" i="16"/>
  <c r="G17" i="16"/>
  <c r="H17" i="16"/>
  <c r="J32" i="21"/>
  <c r="L32" i="21"/>
  <c r="J53" i="21"/>
  <c r="L53" i="21"/>
  <c r="J48" i="21"/>
  <c r="L48" i="21"/>
  <c r="J44" i="21"/>
  <c r="L44" i="21"/>
  <c r="J56" i="21"/>
  <c r="L56" i="21"/>
  <c r="J31" i="21"/>
  <c r="L31" i="21"/>
  <c r="J40" i="21"/>
  <c r="L40" i="21"/>
  <c r="J61" i="21"/>
  <c r="L61" i="21"/>
  <c r="J17" i="21"/>
  <c r="L17" i="21"/>
  <c r="M17" i="21"/>
  <c r="N17" i="21"/>
  <c r="O17" i="21"/>
  <c r="C18" i="21"/>
  <c r="J36" i="21"/>
  <c r="L36" i="21"/>
  <c r="J57" i="21"/>
  <c r="L57" i="21"/>
  <c r="J23" i="21"/>
  <c r="L23" i="21"/>
  <c r="J41" i="21"/>
  <c r="L41" i="21"/>
  <c r="J51" i="21"/>
  <c r="L51" i="21"/>
  <c r="J26" i="21"/>
  <c r="L26" i="21"/>
  <c r="J22" i="21"/>
  <c r="L22" i="21"/>
  <c r="J33" i="21"/>
  <c r="L33" i="21"/>
  <c r="J60" i="21"/>
  <c r="L60" i="21"/>
  <c r="J46" i="21"/>
  <c r="L46" i="21"/>
  <c r="J25" i="21"/>
  <c r="L25" i="21"/>
  <c r="J28" i="21"/>
  <c r="L28" i="21"/>
  <c r="J49" i="21"/>
  <c r="L49" i="21"/>
  <c r="J39" i="21"/>
  <c r="L39" i="21"/>
  <c r="J24" i="21"/>
  <c r="L24" i="21"/>
  <c r="J62" i="21"/>
  <c r="L62" i="21"/>
  <c r="J37" i="21"/>
  <c r="L37" i="21"/>
  <c r="J20" i="21"/>
  <c r="L20" i="21"/>
  <c r="J54" i="21"/>
  <c r="L54" i="21"/>
  <c r="J19" i="21"/>
  <c r="L19" i="21"/>
  <c r="J50" i="21"/>
  <c r="L50" i="21"/>
  <c r="J52" i="21"/>
  <c r="L52" i="21"/>
  <c r="J21" i="21"/>
  <c r="L21" i="21"/>
  <c r="J47" i="21"/>
  <c r="L47" i="21"/>
  <c r="J27" i="21"/>
  <c r="L27" i="21"/>
  <c r="J58" i="21"/>
  <c r="L58" i="21"/>
  <c r="J18" i="21"/>
  <c r="L18" i="21"/>
  <c r="J55" i="21"/>
  <c r="L55" i="21"/>
  <c r="J45" i="21"/>
  <c r="L45" i="21"/>
  <c r="J30" i="21"/>
  <c r="L30" i="21"/>
  <c r="J63" i="21"/>
  <c r="L63" i="21"/>
  <c r="J43" i="21"/>
  <c r="L43" i="21"/>
  <c r="J42" i="21"/>
  <c r="L42" i="21"/>
  <c r="J64" i="21"/>
  <c r="L64" i="21"/>
  <c r="J35" i="21"/>
  <c r="L35" i="21"/>
  <c r="J38" i="21"/>
  <c r="L38" i="21"/>
  <c r="J59" i="21"/>
  <c r="L59" i="21"/>
  <c r="J29" i="21"/>
  <c r="L29" i="21"/>
  <c r="J34" i="21"/>
  <c r="L34" i="21"/>
  <c r="I17" i="16"/>
  <c r="J17" i="16"/>
  <c r="C18" i="16"/>
  <c r="H18" i="16"/>
  <c r="M18" i="21"/>
  <c r="N18" i="21"/>
  <c r="O18" i="21"/>
  <c r="C19" i="21"/>
  <c r="M19" i="21"/>
  <c r="N19" i="21"/>
  <c r="O19" i="21"/>
  <c r="C20" i="21"/>
  <c r="M20" i="21"/>
  <c r="N20" i="21"/>
  <c r="O20" i="21"/>
  <c r="C21" i="21"/>
  <c r="M21" i="21"/>
  <c r="N21" i="21"/>
  <c r="O21" i="21"/>
  <c r="C22" i="21"/>
  <c r="M22" i="21"/>
  <c r="N22" i="21"/>
  <c r="O22" i="21"/>
  <c r="C23" i="21"/>
  <c r="M23" i="21"/>
  <c r="N23" i="21"/>
  <c r="O23" i="21"/>
  <c r="C24" i="21"/>
  <c r="M24" i="21"/>
  <c r="N24" i="21"/>
  <c r="O24" i="21"/>
  <c r="C25" i="21"/>
  <c r="M25" i="21"/>
  <c r="N25" i="21"/>
  <c r="O25" i="21"/>
  <c r="C26" i="21"/>
  <c r="M26" i="21"/>
  <c r="N26" i="21"/>
  <c r="O26" i="21"/>
  <c r="C27" i="21"/>
  <c r="M27" i="21"/>
  <c r="N27" i="21"/>
  <c r="O27" i="21"/>
  <c r="C28" i="21"/>
  <c r="M28" i="21"/>
  <c r="N28" i="21"/>
  <c r="O28" i="21"/>
  <c r="C29" i="21"/>
  <c r="M29" i="21"/>
  <c r="N29" i="21"/>
  <c r="O29" i="21"/>
  <c r="C30" i="21"/>
  <c r="M30" i="21"/>
  <c r="N30" i="21"/>
  <c r="O30" i="21"/>
  <c r="C31" i="21"/>
  <c r="M31" i="21"/>
  <c r="N31" i="21"/>
  <c r="O31" i="21"/>
  <c r="C32" i="21"/>
  <c r="M32" i="21"/>
  <c r="N32" i="21"/>
  <c r="O32" i="21"/>
  <c r="C33" i="21"/>
  <c r="M33" i="21"/>
  <c r="N33" i="21"/>
  <c r="O33" i="21"/>
  <c r="C34" i="21"/>
  <c r="M34" i="21"/>
  <c r="N34" i="21"/>
  <c r="O34" i="21"/>
  <c r="C35" i="21"/>
  <c r="M35" i="21"/>
  <c r="N35" i="21"/>
  <c r="O35" i="21"/>
  <c r="C36" i="21"/>
  <c r="M36" i="21"/>
  <c r="N36" i="21"/>
  <c r="O36" i="21"/>
  <c r="C37" i="21"/>
  <c r="M37" i="21"/>
  <c r="N37" i="21"/>
  <c r="O37" i="21"/>
  <c r="C38" i="21"/>
  <c r="M38" i="21"/>
  <c r="N38" i="21"/>
  <c r="O38" i="21"/>
  <c r="C39" i="21"/>
  <c r="M39" i="21"/>
  <c r="N39" i="21"/>
  <c r="O39" i="21"/>
  <c r="C40" i="21"/>
  <c r="M40" i="21"/>
  <c r="N40" i="21"/>
  <c r="O40" i="21"/>
  <c r="C41" i="21"/>
  <c r="M41" i="21"/>
  <c r="N41" i="21"/>
  <c r="O41" i="21"/>
  <c r="C42" i="21"/>
  <c r="M42" i="21"/>
  <c r="N42" i="21"/>
  <c r="O42" i="21"/>
  <c r="C43" i="21"/>
  <c r="M43" i="21"/>
  <c r="N43" i="21"/>
  <c r="O43" i="21"/>
  <c r="C44" i="21"/>
  <c r="M44" i="21"/>
  <c r="N44" i="21"/>
  <c r="O44" i="21"/>
  <c r="C45" i="21"/>
  <c r="M45" i="21"/>
  <c r="N45" i="21"/>
  <c r="O45" i="21"/>
  <c r="C46" i="21"/>
  <c r="M46" i="21"/>
  <c r="N46" i="21"/>
  <c r="O46" i="21"/>
  <c r="C47" i="21"/>
  <c r="M47" i="21"/>
  <c r="N47" i="21"/>
  <c r="O47" i="21"/>
  <c r="C48" i="21"/>
  <c r="M48" i="21"/>
  <c r="N48" i="21"/>
  <c r="O48" i="21"/>
  <c r="C49" i="21"/>
  <c r="M49" i="21"/>
  <c r="N49" i="21"/>
  <c r="O49" i="21"/>
  <c r="C50" i="21"/>
  <c r="M50" i="21"/>
  <c r="N50" i="21"/>
  <c r="O50" i="21"/>
  <c r="C51" i="21"/>
  <c r="M51" i="21"/>
  <c r="N51" i="21"/>
  <c r="O51" i="21"/>
  <c r="C52" i="21"/>
  <c r="M52" i="21"/>
  <c r="N52" i="21"/>
  <c r="O52" i="21"/>
  <c r="C53" i="21"/>
  <c r="M53" i="21"/>
  <c r="N53" i="21"/>
  <c r="O53" i="21"/>
  <c r="C54" i="21"/>
  <c r="M54" i="21"/>
  <c r="N54" i="21"/>
  <c r="O54" i="21"/>
  <c r="C55" i="21"/>
  <c r="M55" i="21"/>
  <c r="N55" i="21"/>
  <c r="O55" i="21"/>
  <c r="C56" i="21"/>
  <c r="M56" i="21"/>
  <c r="N56" i="21"/>
  <c r="O56" i="21"/>
  <c r="C57" i="21"/>
  <c r="M57" i="21"/>
  <c r="N57" i="21"/>
  <c r="O57" i="21"/>
  <c r="C58" i="21"/>
  <c r="M58" i="21"/>
  <c r="N58" i="21"/>
  <c r="O58" i="21"/>
  <c r="C59" i="21"/>
  <c r="M59" i="21"/>
  <c r="N59" i="21"/>
  <c r="O59" i="21"/>
  <c r="C60" i="21"/>
  <c r="M60" i="21"/>
  <c r="N60" i="21"/>
  <c r="O60" i="21"/>
  <c r="C61" i="21"/>
  <c r="M61" i="21"/>
  <c r="N61" i="21"/>
  <c r="O61" i="21"/>
  <c r="C62" i="21"/>
  <c r="M62" i="21"/>
  <c r="N62" i="21"/>
  <c r="O62" i="21"/>
  <c r="C63" i="21"/>
  <c r="M63" i="21"/>
  <c r="N63" i="21"/>
  <c r="O63" i="21"/>
  <c r="C64" i="21"/>
  <c r="M64" i="21"/>
  <c r="N64" i="21"/>
  <c r="O64" i="21"/>
  <c r="I18" i="16"/>
  <c r="J18" i="16"/>
  <c r="C19" i="16"/>
  <c r="H19" i="16"/>
  <c r="I19" i="16"/>
  <c r="J19" i="16"/>
  <c r="C20" i="16"/>
  <c r="H20" i="16"/>
  <c r="I20" i="16"/>
  <c r="J20" i="16"/>
  <c r="C21" i="16"/>
  <c r="H21" i="16"/>
  <c r="I21" i="16"/>
  <c r="J21" i="16"/>
  <c r="C22" i="16"/>
  <c r="H22" i="16"/>
  <c r="I22" i="16"/>
  <c r="J22" i="16"/>
  <c r="C23" i="16"/>
  <c r="H23" i="16"/>
  <c r="I23" i="16"/>
  <c r="J23" i="16"/>
  <c r="C24" i="16"/>
  <c r="H24" i="16"/>
  <c r="I24" i="16"/>
  <c r="J24" i="16"/>
  <c r="C25" i="16"/>
  <c r="H25" i="16"/>
  <c r="I25" i="16"/>
  <c r="J25" i="16"/>
  <c r="C26" i="16"/>
  <c r="H26" i="16"/>
  <c r="I26" i="16"/>
  <c r="J26" i="16"/>
  <c r="C27" i="16"/>
  <c r="H27" i="16"/>
  <c r="I27" i="16"/>
  <c r="J27" i="16"/>
  <c r="C28" i="16"/>
  <c r="H28" i="16"/>
  <c r="I28" i="16"/>
  <c r="J28" i="16"/>
  <c r="C29" i="16"/>
  <c r="H29" i="16"/>
  <c r="I29" i="16"/>
  <c r="J29" i="16"/>
  <c r="C30" i="16"/>
  <c r="H30" i="16"/>
  <c r="I30" i="16"/>
  <c r="J30" i="16"/>
  <c r="C31" i="16"/>
  <c r="H31" i="16"/>
  <c r="I31" i="16"/>
  <c r="J31" i="16"/>
  <c r="C32" i="16"/>
  <c r="H32" i="16"/>
  <c r="I32" i="16"/>
  <c r="J32" i="16"/>
  <c r="C33" i="16"/>
  <c r="H33" i="16"/>
  <c r="I33" i="16"/>
  <c r="J33" i="16"/>
  <c r="C34" i="16"/>
  <c r="H34" i="16"/>
  <c r="I34" i="16"/>
  <c r="J34" i="16"/>
  <c r="C35" i="16"/>
  <c r="H35" i="16"/>
  <c r="I35" i="16"/>
  <c r="J35" i="16"/>
  <c r="C36" i="16"/>
  <c r="H36" i="16"/>
  <c r="I36" i="16"/>
  <c r="J36" i="16"/>
  <c r="C37" i="16"/>
  <c r="H37" i="16"/>
  <c r="I37" i="16"/>
  <c r="J37" i="16"/>
  <c r="C38" i="16"/>
  <c r="H38" i="16"/>
  <c r="I38" i="16"/>
  <c r="J38" i="16"/>
  <c r="C39" i="16"/>
  <c r="H39" i="16"/>
  <c r="I39" i="16"/>
  <c r="J39" i="16"/>
  <c r="C40" i="16"/>
  <c r="H40" i="16"/>
  <c r="I40" i="16"/>
  <c r="J40" i="16"/>
  <c r="C41" i="16"/>
  <c r="H41" i="16"/>
  <c r="I41" i="16"/>
  <c r="J41" i="16"/>
  <c r="C42" i="16"/>
  <c r="H42" i="16"/>
  <c r="I42" i="16"/>
  <c r="J42" i="16"/>
  <c r="C43" i="16"/>
  <c r="H43" i="16"/>
  <c r="I43" i="16"/>
  <c r="J43" i="16"/>
  <c r="C44" i="16"/>
  <c r="H44" i="16"/>
  <c r="I44" i="16"/>
  <c r="J44" i="16"/>
  <c r="C45" i="16"/>
  <c r="H45" i="16"/>
  <c r="I45" i="16"/>
  <c r="J45" i="16"/>
  <c r="C46" i="16"/>
  <c r="H46" i="16"/>
  <c r="I46" i="16"/>
  <c r="J46" i="16"/>
  <c r="C47" i="16"/>
  <c r="H47" i="16"/>
  <c r="I47" i="16"/>
  <c r="J47" i="16"/>
  <c r="C48" i="16"/>
  <c r="H48" i="16"/>
  <c r="I48" i="16"/>
  <c r="J48" i="16"/>
  <c r="C49" i="16"/>
  <c r="H49" i="16"/>
  <c r="I49" i="16"/>
  <c r="J49" i="16"/>
  <c r="C50" i="16"/>
  <c r="H50" i="16"/>
  <c r="I50" i="16"/>
  <c r="J50" i="16"/>
  <c r="C51" i="16"/>
  <c r="H51" i="16"/>
  <c r="I51" i="16"/>
  <c r="J51" i="16"/>
  <c r="C52" i="16"/>
  <c r="H52" i="16"/>
  <c r="I52" i="16"/>
  <c r="J52" i="16"/>
  <c r="C53" i="16"/>
  <c r="H53" i="16"/>
  <c r="I53" i="16"/>
  <c r="J53" i="16"/>
  <c r="C54" i="16"/>
  <c r="H54" i="16"/>
  <c r="I54" i="16"/>
  <c r="J54" i="16"/>
  <c r="C55" i="16"/>
  <c r="H55" i="16"/>
  <c r="I55" i="16"/>
  <c r="J55" i="16"/>
  <c r="C56" i="16"/>
  <c r="H56" i="16"/>
  <c r="I56" i="16"/>
  <c r="J56" i="16"/>
  <c r="C57" i="16"/>
  <c r="H57" i="16"/>
  <c r="I57" i="16"/>
  <c r="J57" i="16"/>
  <c r="C58" i="16"/>
  <c r="H58" i="16"/>
  <c r="I58" i="16"/>
  <c r="J58" i="16"/>
  <c r="C59" i="16"/>
  <c r="H59" i="16"/>
  <c r="I59" i="16"/>
  <c r="J59" i="16"/>
  <c r="C60" i="16"/>
  <c r="H60" i="16"/>
  <c r="I60" i="16"/>
  <c r="J60" i="16"/>
  <c r="C61" i="16"/>
  <c r="H61" i="16"/>
  <c r="I61" i="16"/>
  <c r="J61" i="16"/>
  <c r="C62" i="16"/>
  <c r="H62" i="16"/>
  <c r="I62" i="16"/>
  <c r="J62" i="16"/>
  <c r="C63" i="16"/>
  <c r="H63" i="16"/>
  <c r="I63" i="16"/>
  <c r="J63" i="16"/>
  <c r="C64" i="16"/>
  <c r="H64" i="16"/>
  <c r="I64" i="16"/>
  <c r="J64" i="16"/>
  <c r="H69" i="22"/>
  <c r="E14" i="14"/>
  <c r="E18" i="14"/>
  <c r="E17" i="14"/>
  <c r="E19" i="14"/>
  <c r="O27" i="12"/>
  <c r="H71" i="22"/>
  <c r="F30" i="22"/>
  <c r="F27" i="22"/>
  <c r="F28" i="22"/>
  <c r="F29" i="22"/>
  <c r="F31" i="22"/>
  <c r="F32" i="22"/>
  <c r="H11" i="23"/>
  <c r="H12" i="23"/>
</calcChain>
</file>

<file path=xl/sharedStrings.xml><?xml version="1.0" encoding="utf-8"?>
<sst xmlns="http://schemas.openxmlformats.org/spreadsheetml/2006/main" count="868" uniqueCount="426">
  <si>
    <t>Real estate</t>
  </si>
  <si>
    <t>Systems</t>
  </si>
  <si>
    <t>Total amount of inhabitants</t>
  </si>
  <si>
    <t>Total costs</t>
  </si>
  <si>
    <t>Drinking water</t>
  </si>
  <si>
    <t>Tap</t>
  </si>
  <si>
    <t>Drinking and food</t>
  </si>
  <si>
    <t>Shower / bathing</t>
  </si>
  <si>
    <t>Grey water</t>
  </si>
  <si>
    <t>Toilet</t>
  </si>
  <si>
    <t>http://www.infodwi.nl/uploadedFiles/Infodwi/05_-_Voorwaarden_normen_en_uitwerking/WB%202.1%20B%20okt%202011.pdf</t>
  </si>
  <si>
    <t>Black water</t>
  </si>
  <si>
    <t>Mooring system</t>
  </si>
  <si>
    <t>Drinking water purification</t>
  </si>
  <si>
    <t>Grey water purification</t>
  </si>
  <si>
    <t>Black water purification</t>
  </si>
  <si>
    <t>distribution</t>
  </si>
  <si>
    <t>perfector E</t>
  </si>
  <si>
    <t>l/hour</t>
  </si>
  <si>
    <t>http://waterforeveryone.nl/waterpurifier/waterpurifier-2500uv</t>
  </si>
  <si>
    <t>http://waterforeveryone.nl/waterpurifier/waterpurifier-500uv-ac</t>
  </si>
  <si>
    <t>Restaurant</t>
  </si>
  <si>
    <t>TOTAAL</t>
  </si>
  <si>
    <t>* Assumption: 3L per wash cycle (90-120 sec), gem. derivative of 3 persons per cycle</t>
  </si>
  <si>
    <t>** Assumption: one bucket at 20L per room, gem. 2 pers. per room</t>
  </si>
  <si>
    <t>*** Assumption: 50L per wash, 4x bedding per wash</t>
  </si>
  <si>
    <t>Shower (water saving)</t>
  </si>
  <si>
    <t>Cleaning</t>
  </si>
  <si>
    <t xml:space="preserve">Food </t>
  </si>
  <si>
    <t>Dishwasher*</t>
  </si>
  <si>
    <t>Rooms**</t>
  </si>
  <si>
    <t>Textile***</t>
  </si>
  <si>
    <t>m3 per fte</t>
  </si>
  <si>
    <t>48 working weeks/year</t>
  </si>
  <si>
    <t>5 days per week</t>
  </si>
  <si>
    <t>Hotels</t>
  </si>
  <si>
    <t>Office</t>
  </si>
  <si>
    <t>toilet assumption</t>
  </si>
  <si>
    <t>0,69 €/m3</t>
  </si>
  <si>
    <t>technician required every 3 moths for cleaning on site (about 2 hours)</t>
  </si>
  <si>
    <t>Maintenance</t>
  </si>
  <si>
    <t>energy</t>
  </si>
  <si>
    <t>http://www.pwntechnologies.nl/resources/factsheets/pdf/Perfector-E%20-%20Emergency%20water%20unit.pdf</t>
  </si>
  <si>
    <t>Membrane needs to be replaced every 3 - 5 years</t>
  </si>
  <si>
    <t>1450/year</t>
  </si>
  <si>
    <t>replacement</t>
  </si>
  <si>
    <t>visits per working day</t>
  </si>
  <si>
    <t>drinking water needed</t>
  </si>
  <si>
    <t>10m3</t>
  </si>
  <si>
    <t xml:space="preserve">The amount of water used for a very sustainable situation and a large use situation. </t>
  </si>
  <si>
    <t>low</t>
  </si>
  <si>
    <t>high</t>
  </si>
  <si>
    <t>Faucet</t>
  </si>
  <si>
    <t>Leakage</t>
  </si>
  <si>
    <t>Office water</t>
  </si>
  <si>
    <t>Landscaping</t>
  </si>
  <si>
    <t>Kitchen</t>
  </si>
  <si>
    <t>Cooling/heating</t>
  </si>
  <si>
    <t>Heating and cooling</t>
  </si>
  <si>
    <t xml:space="preserve">3 kW </t>
  </si>
  <si>
    <t>Green</t>
  </si>
  <si>
    <t>Total</t>
  </si>
  <si>
    <t>extra</t>
  </si>
  <si>
    <t>costs €</t>
  </si>
  <si>
    <t>220V / 3,1 kw</t>
  </si>
  <si>
    <t>Securing Safe Water Supplies: Comparison of Applicable Technologies  By Erik Voigt, Henry Jaeger, Dietrich Knorr</t>
  </si>
  <si>
    <t>Water heating</t>
  </si>
  <si>
    <t>Honduras</t>
  </si>
  <si>
    <t>Residential</t>
  </si>
  <si>
    <t>Space heating</t>
  </si>
  <si>
    <t>Space cooling</t>
  </si>
  <si>
    <t>Lighting</t>
  </si>
  <si>
    <t>Refrigeration</t>
  </si>
  <si>
    <t>Television</t>
  </si>
  <si>
    <t>Cooking</t>
  </si>
  <si>
    <t>Other*</t>
  </si>
  <si>
    <t>kWh/household/year</t>
  </si>
  <si>
    <t>Ventilation</t>
  </si>
  <si>
    <t>Office equipment</t>
  </si>
  <si>
    <t>Computers</t>
  </si>
  <si>
    <t>Other</t>
  </si>
  <si>
    <t>= variable</t>
  </si>
  <si>
    <t>* washing machine, dishwasher, freezer, PC's, etc.</t>
  </si>
  <si>
    <t>[1] HOME 2012, ECN, edited from Nibud 2013</t>
  </si>
  <si>
    <t>[2] Estimated U.S. residential electricity consumption by end-use, EIA, 2011</t>
  </si>
  <si>
    <t>Brand</t>
  </si>
  <si>
    <t>Phono Solar</t>
  </si>
  <si>
    <t>Type</t>
  </si>
  <si>
    <t>Diamond Series Mono</t>
  </si>
  <si>
    <t>Module efficiency</t>
  </si>
  <si>
    <t>Model</t>
  </si>
  <si>
    <t>PS300M-24/T</t>
  </si>
  <si>
    <t>Surface per panel</t>
  </si>
  <si>
    <t>W</t>
  </si>
  <si>
    <t>Solar panels needed</t>
  </si>
  <si>
    <t>Per household</t>
  </si>
  <si>
    <t>Low</t>
  </si>
  <si>
    <t>High</t>
  </si>
  <si>
    <t>start volume (L)</t>
  </si>
  <si>
    <t>outflow coefficient</t>
  </si>
  <si>
    <t>filter yield</t>
  </si>
  <si>
    <t># people</t>
  </si>
  <si>
    <t>usage (L/p/month)</t>
  </si>
  <si>
    <t>reuse factor</t>
  </si>
  <si>
    <t>max volume (L)</t>
  </si>
  <si>
    <t>Month</t>
  </si>
  <si>
    <t>Volume before (L)</t>
  </si>
  <si>
    <t>Outflow coefficient</t>
  </si>
  <si>
    <t>Filter yield</t>
  </si>
  <si>
    <t>Water collected (L)</t>
  </si>
  <si>
    <t>Usage (L/p/month)</t>
  </si>
  <si>
    <t>Reuse factor</t>
  </si>
  <si>
    <t>Total usage</t>
  </si>
  <si>
    <t>Volume after (L)</t>
  </si>
  <si>
    <t>Volume after (corr.) (L)</t>
  </si>
  <si>
    <t>Max volume (corr.) (L)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</si>
  <si>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</si>
  <si>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</si>
  <si>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</si>
  <si>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</si>
  <si>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</si>
  <si>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</si>
  <si>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</si>
  <si>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</si>
  <si>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</si>
  <si>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</si>
  <si>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</si>
  <si>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</si>
  <si>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[4] Environmental Barometer NL, 2012</t>
  </si>
  <si>
    <t>[3] Commercial buildings energy consumption survey, EIA, 2003</t>
  </si>
  <si>
    <t>Roof space per person</t>
  </si>
  <si>
    <t>Total roof space</t>
  </si>
  <si>
    <t>People per platform</t>
  </si>
  <si>
    <t>Average floor area per person (GFA)</t>
  </si>
  <si>
    <t>Gross - Usable ratio</t>
  </si>
  <si>
    <t>Amount of floors</t>
  </si>
  <si>
    <t xml:space="preserve">Built-up Area </t>
  </si>
  <si>
    <t>Floor space</t>
  </si>
  <si>
    <t>Built-up Area*</t>
  </si>
  <si>
    <t>Issuable Ground</t>
  </si>
  <si>
    <t>Platform</t>
  </si>
  <si>
    <t>Distribution of ground space</t>
  </si>
  <si>
    <t>m</t>
  </si>
  <si>
    <t>Width</t>
  </si>
  <si>
    <t>Length</t>
  </si>
  <si>
    <t>Platform size</t>
  </si>
  <si>
    <t>Real Estate</t>
  </si>
  <si>
    <r>
      <t>m</t>
    </r>
    <r>
      <rPr>
        <vertAlign val="superscript"/>
        <sz val="10"/>
        <color theme="1"/>
        <rFont val="Calibri"/>
        <family val="2"/>
        <scheme val="minor"/>
      </rPr>
      <t>2</t>
    </r>
  </si>
  <si>
    <r>
      <t xml:space="preserve">Total </t>
    </r>
    <r>
      <rPr>
        <i/>
        <sz val="10"/>
        <color theme="1"/>
        <rFont val="Calibri"/>
        <family val="2"/>
        <scheme val="minor"/>
      </rPr>
      <t>Gross Floor Area</t>
    </r>
    <r>
      <rPr>
        <sz val="10"/>
        <color theme="1"/>
        <rFont val="Calibri"/>
        <family val="2"/>
        <scheme val="minor"/>
      </rPr>
      <t xml:space="preserve"> (GFA)</t>
    </r>
  </si>
  <si>
    <r>
      <t xml:space="preserve">Total </t>
    </r>
    <r>
      <rPr>
        <i/>
        <sz val="10"/>
        <color theme="1"/>
        <rFont val="Calibri"/>
        <family val="2"/>
        <scheme val="minor"/>
      </rPr>
      <t>Usable Floor Area</t>
    </r>
    <r>
      <rPr>
        <sz val="10"/>
        <color theme="1"/>
        <rFont val="Calibri"/>
        <family val="2"/>
        <scheme val="minor"/>
      </rPr>
      <t xml:space="preserve"> (UFA)</t>
    </r>
  </si>
  <si>
    <r>
      <t>Low</t>
    </r>
    <r>
      <rPr>
        <b/>
        <vertAlign val="superscript"/>
        <sz val="10"/>
        <color theme="1"/>
        <rFont val="Calibri"/>
        <family val="2"/>
        <scheme val="minor"/>
      </rPr>
      <t>[1]</t>
    </r>
  </si>
  <si>
    <r>
      <t>High</t>
    </r>
    <r>
      <rPr>
        <b/>
        <vertAlign val="superscript"/>
        <sz val="10"/>
        <color theme="1"/>
        <rFont val="Calibri"/>
        <family val="2"/>
        <scheme val="minor"/>
      </rPr>
      <t>[2]</t>
    </r>
  </si>
  <si>
    <r>
      <t>kWh/m</t>
    </r>
    <r>
      <rPr>
        <vertAlign val="superscript"/>
        <sz val="10"/>
        <color theme="1"/>
        <rFont val="Calibri"/>
        <family val="2"/>
        <scheme val="minor"/>
      </rPr>
      <t>2</t>
    </r>
  </si>
  <si>
    <r>
      <t>Low</t>
    </r>
    <r>
      <rPr>
        <b/>
        <vertAlign val="superscript"/>
        <sz val="10"/>
        <color theme="1"/>
        <rFont val="Calibri"/>
        <family val="2"/>
        <scheme val="minor"/>
      </rPr>
      <t>[4]</t>
    </r>
  </si>
  <si>
    <r>
      <t>High</t>
    </r>
    <r>
      <rPr>
        <b/>
        <vertAlign val="superscript"/>
        <sz val="10"/>
        <color theme="1"/>
        <rFont val="Calibri"/>
        <family val="2"/>
        <scheme val="minor"/>
      </rPr>
      <t>[5]</t>
    </r>
  </si>
  <si>
    <r>
      <t>kWh/m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/year</t>
    </r>
  </si>
  <si>
    <t>Energy Demand</t>
  </si>
  <si>
    <r>
      <t>Roof surface (m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</si>
  <si>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*</t>
  </si>
  <si>
    <t>**</t>
  </si>
  <si>
    <t>Water Demand</t>
  </si>
  <si>
    <t>Colombia</t>
  </si>
  <si>
    <t>= drop down</t>
  </si>
  <si>
    <t>LOCATION (choose)</t>
  </si>
  <si>
    <t>*** Depends on LOCATION</t>
  </si>
  <si>
    <t>Precipitation*** (mm)</t>
  </si>
  <si>
    <t>[1]</t>
  </si>
  <si>
    <t>Sources:</t>
  </si>
  <si>
    <t>[1] Dr. T. Mitchell, CRU CL 2.0 data-set, Tyndall Centre for Climate Change Research</t>
  </si>
  <si>
    <t>Domestic</t>
  </si>
  <si>
    <t>Hotel</t>
  </si>
  <si>
    <t>Precipitation</t>
  </si>
  <si>
    <t>Dec</t>
  </si>
  <si>
    <t>Jan</t>
  </si>
  <si>
    <t>Feb</t>
  </si>
  <si>
    <t>Mar</t>
  </si>
  <si>
    <t>Apr</t>
  </si>
  <si>
    <t>Aug</t>
  </si>
  <si>
    <t>Sep</t>
  </si>
  <si>
    <t>Oct</t>
  </si>
  <si>
    <t>Nov</t>
  </si>
  <si>
    <t>Daily</t>
  </si>
  <si>
    <t>Monthly</t>
  </si>
  <si>
    <t>Function</t>
  </si>
  <si>
    <t>Usage</t>
  </si>
  <si>
    <t xml:space="preserve">Rainwater collection </t>
  </si>
  <si>
    <t>* Value is found at the 'Real Estate' sheet</t>
  </si>
  <si>
    <t>CALCULATION TABLE</t>
  </si>
  <si>
    <t>kWh/room/year</t>
  </si>
  <si>
    <t>RESIDENTIAL</t>
  </si>
  <si>
    <t>OFFICES</t>
  </si>
  <si>
    <t>HOTEL/LODGING</t>
  </si>
  <si>
    <r>
      <t>High</t>
    </r>
    <r>
      <rPr>
        <b/>
        <vertAlign val="superscript"/>
        <sz val="10"/>
        <color theme="1"/>
        <rFont val="Calibri"/>
        <family val="2"/>
        <scheme val="minor"/>
      </rPr>
      <t>[7]</t>
    </r>
  </si>
  <si>
    <r>
      <t>Low</t>
    </r>
    <r>
      <rPr>
        <b/>
        <vertAlign val="superscript"/>
        <sz val="10"/>
        <color theme="1"/>
        <rFont val="Calibri"/>
        <family val="2"/>
        <scheme val="minor"/>
      </rPr>
      <t>[6]</t>
    </r>
  </si>
  <si>
    <r>
      <t>Daily local insolation</t>
    </r>
    <r>
      <rPr>
        <b/>
        <i/>
        <vertAlign val="superscript"/>
        <sz val="10"/>
        <color theme="1"/>
        <rFont val="Calibri"/>
        <family val="2"/>
        <scheme val="minor"/>
      </rPr>
      <t>[8]</t>
    </r>
  </si>
  <si>
    <t>[8] http://maps.nrel.gov/SWERA</t>
  </si>
  <si>
    <t>Per hotel room</t>
  </si>
  <si>
    <t>[7] 2004 Lodging Industry Profile, American Hotel &amp; Lodging Association</t>
  </si>
  <si>
    <t>[6] Vademecum HORECA, BIM, 2009</t>
  </si>
  <si>
    <t>U.S. Family size</t>
  </si>
  <si>
    <t>Average family size</t>
  </si>
  <si>
    <t>Honduras per person</t>
  </si>
  <si>
    <t>Amount of people</t>
  </si>
  <si>
    <t>Hotel size (on 1 platform)</t>
  </si>
  <si>
    <t>Total amount of people</t>
  </si>
  <si>
    <t>Total amount of platforms</t>
  </si>
  <si>
    <t>Estimated people per hotel room</t>
  </si>
  <si>
    <t>Colombia per person</t>
  </si>
  <si>
    <t>floors</t>
  </si>
  <si>
    <t>people</t>
  </si>
  <si>
    <t>platforms</t>
  </si>
  <si>
    <t>Average sunshine</t>
  </si>
  <si>
    <r>
      <t>W/m</t>
    </r>
    <r>
      <rPr>
        <vertAlign val="superscript"/>
        <sz val="10"/>
        <color theme="1"/>
        <rFont val="Calibri"/>
        <family val="2"/>
        <scheme val="minor"/>
      </rPr>
      <t>2</t>
    </r>
  </si>
  <si>
    <t>platform height</t>
  </si>
  <si>
    <t>ground floor thickness</t>
  </si>
  <si>
    <t>basement floor thickness</t>
  </si>
  <si>
    <t>basement wall thickness</t>
  </si>
  <si>
    <t>TOTAL PLATFORM</t>
  </si>
  <si>
    <t>TOTAL BASEMENT</t>
  </si>
  <si>
    <r>
      <t>m</t>
    </r>
    <r>
      <rPr>
        <sz val="10"/>
        <color theme="1"/>
        <rFont val="Calibri"/>
        <family val="2"/>
      </rPr>
      <t>³</t>
    </r>
  </si>
  <si>
    <t>m²</t>
  </si>
  <si>
    <t>ground floor (hollow-core)</t>
  </si>
  <si>
    <t>Basement structure</t>
  </si>
  <si>
    <t>TOTAL SEWERAGE</t>
  </si>
  <si>
    <t>sidewalks top layers</t>
  </si>
  <si>
    <t>cables and wires</t>
  </si>
  <si>
    <r>
      <t>m</t>
    </r>
    <r>
      <rPr>
        <sz val="10"/>
        <color theme="1"/>
        <rFont val="Calibri"/>
        <family val="2"/>
      </rPr>
      <t>¹</t>
    </r>
  </si>
  <si>
    <t>sewer/drainage pipes</t>
  </si>
  <si>
    <t>Sewerage, drainage, cables and wires</t>
  </si>
  <si>
    <t>Platform costs</t>
  </si>
  <si>
    <t>3m2 pp</t>
  </si>
  <si>
    <t>1 meter zand, 10 cm grind, 1,3 m diep</t>
  </si>
  <si>
    <t>caisson volume</t>
  </si>
  <si>
    <t>ton</t>
  </si>
  <si>
    <t>per unit</t>
  </si>
  <si>
    <t>total</t>
  </si>
  <si>
    <t>connections between islands</t>
  </si>
  <si>
    <t>Connections between islands</t>
  </si>
  <si>
    <t>mooring system</t>
  </si>
  <si>
    <t>/piece</t>
  </si>
  <si>
    <t>Calculation concrete costs</t>
  </si>
  <si>
    <t xml:space="preserve">reference Monaco: €100M/175.000 = €571/ton </t>
  </si>
  <si>
    <t>range: 700 - 2100 per m³</t>
  </si>
  <si>
    <t>Use in households</t>
  </si>
  <si>
    <t>Use in offices</t>
  </si>
  <si>
    <t>Use in hotel</t>
  </si>
  <si>
    <t>Use in city</t>
  </si>
  <si>
    <t>Panels needed</t>
  </si>
  <si>
    <t>Surface needed</t>
  </si>
  <si>
    <t>People / household</t>
  </si>
  <si>
    <t>Rooms in hotel</t>
  </si>
  <si>
    <t>Daily use</t>
  </si>
  <si>
    <t>kWh</t>
  </si>
  <si>
    <t>Energy - micro grid</t>
  </si>
  <si>
    <t>Energy - generator</t>
  </si>
  <si>
    <t>l/kWh</t>
  </si>
  <si>
    <r>
      <t>Tax (Honduras)</t>
    </r>
    <r>
      <rPr>
        <sz val="10"/>
        <color theme="1"/>
        <rFont val="Calibri"/>
        <family val="2"/>
      </rPr>
      <t>¹</t>
    </r>
  </si>
  <si>
    <t>(1) http://www.doingbusiness.org/data/exploreeconomies/honduras/paying-taxes/</t>
  </si>
  <si>
    <t>Demand</t>
  </si>
  <si>
    <r>
      <t>Diesel generator</t>
    </r>
    <r>
      <rPr>
        <sz val="10"/>
        <color theme="1"/>
        <rFont val="Calibri"/>
        <family val="2"/>
      </rPr>
      <t>³</t>
    </r>
  </si>
  <si>
    <t>basement floor ²</t>
  </si>
  <si>
    <t>additional floor</t>
  </si>
  <si>
    <t>400 kw : 40k - 47k pp</t>
  </si>
  <si>
    <t>http://www.alibaba.com/product-gs/753404876/2013_440KW_Diesel_Generators_Prices_C440GF.html</t>
  </si>
  <si>
    <t>Development costs</t>
  </si>
  <si>
    <t>Background information</t>
  </si>
  <si>
    <t>COST ESTIMATION TOTAL OVERVIEW</t>
  </si>
  <si>
    <t>Floating platform cost estimate</t>
  </si>
  <si>
    <t>Maritime constructions</t>
  </si>
  <si>
    <t>Energy low scenario</t>
  </si>
  <si>
    <t>(3) http://knoema.com/atlas/Honduras/Pump-price-for-diesel-fuel-USdollar-per-liter, 2012</t>
  </si>
  <si>
    <t>TOTAL MARITIME CONSTRUCTIONS</t>
  </si>
  <si>
    <t>TOTAL SUSTAINABLE LOW SCENARIO</t>
  </si>
  <si>
    <t>TOTAL CONVENTIONAL LOW SCENARIO</t>
  </si>
  <si>
    <t>Energy high scenario</t>
  </si>
  <si>
    <t>TOTAL SUSTAINABLE HIGH SCENARIO</t>
  </si>
  <si>
    <t>TOTAL CONVENTIONAL HIGH SCENARIO</t>
  </si>
  <si>
    <t>Background calculations</t>
  </si>
  <si>
    <t xml:space="preserve">Total </t>
  </si>
  <si>
    <t>Total drinking water</t>
  </si>
  <si>
    <t>Total grey water</t>
  </si>
  <si>
    <t>Total domestic water use</t>
  </si>
  <si>
    <t>/ person / day</t>
  </si>
  <si>
    <t>Rainwater reservoir</t>
  </si>
  <si>
    <t>Self-cleaning filter and pump</t>
  </si>
  <si>
    <t xml:space="preserve">Water purifier </t>
  </si>
  <si>
    <t>Total hotel water use</t>
  </si>
  <si>
    <t>Grey water needed</t>
  </si>
  <si>
    <t>Totals l/day</t>
  </si>
  <si>
    <t>Greywater</t>
  </si>
  <si>
    <t>Input needed</t>
  </si>
  <si>
    <t>Output available</t>
  </si>
  <si>
    <t>2.000-2.750 l/h</t>
  </si>
  <si>
    <t>helofyten</t>
  </si>
  <si>
    <t>WATER DEMAND</t>
  </si>
  <si>
    <t>Platform space per person</t>
  </si>
  <si>
    <t>Platform space per person (hotel)</t>
  </si>
  <si>
    <r>
      <t>platform surface 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</si>
  <si>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>Water collection</t>
  </si>
  <si>
    <t xml:space="preserve">Office </t>
  </si>
  <si>
    <t>Residential platforms</t>
  </si>
  <si>
    <t>Office platforms</t>
  </si>
  <si>
    <t>Residential space</t>
  </si>
  <si>
    <t>Office space</t>
  </si>
  <si>
    <t>feasible!</t>
  </si>
  <si>
    <t>Need high scenario</t>
  </si>
  <si>
    <t>Need low scenario</t>
  </si>
  <si>
    <t>Monthly need</t>
  </si>
  <si>
    <t>Daily use in city</t>
  </si>
  <si>
    <r>
      <t>Share</t>
    </r>
    <r>
      <rPr>
        <b/>
        <vertAlign val="superscript"/>
        <sz val="10"/>
        <color theme="0" tint="-0.34998626667073579"/>
        <rFont val="Calibri"/>
        <family val="2"/>
        <scheme val="minor"/>
      </rPr>
      <t>[3]</t>
    </r>
  </si>
  <si>
    <t>HOTEL WATER</t>
  </si>
  <si>
    <t>DOMESTIC</t>
  </si>
  <si>
    <t>OFFICE</t>
  </si>
  <si>
    <t>OFFICE OUTPUT</t>
  </si>
  <si>
    <t>HOTEL OUTPUT</t>
  </si>
  <si>
    <t>DOMESTIC OUTPUT</t>
  </si>
  <si>
    <r>
      <t>Surface needed 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</si>
  <si>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Per 100 m</t>
    </r>
    <r>
      <rPr>
        <b/>
        <vertAlign val="superscript"/>
        <sz val="10"/>
        <color rgb="FF0070C0"/>
        <rFont val="Calibri"/>
        <family val="2"/>
        <scheme val="minor"/>
      </rPr>
      <t>2</t>
    </r>
    <r>
      <rPr>
        <b/>
        <sz val="10"/>
        <color rgb="FF0070C0"/>
        <rFont val="Calibri"/>
        <family val="2"/>
        <scheme val="minor"/>
      </rPr>
      <t xml:space="preserve"> office space</t>
    </r>
  </si>
  <si>
    <r>
      <t>m</t>
    </r>
    <r>
      <rPr>
        <sz val="9"/>
        <color theme="1"/>
        <rFont val="Calibri"/>
        <family val="2"/>
      </rPr>
      <t>³ concrete weight 2,45 = 1400</t>
    </r>
  </si>
  <si>
    <t>m³</t>
  </si>
  <si>
    <t>2,4 - 2,5 kg /m³</t>
  </si>
  <si>
    <t>Freeboard</t>
  </si>
  <si>
    <t>TOTAL COSTS ex</t>
  </si>
  <si>
    <t>** Depends on WATER DEMAND</t>
  </si>
  <si>
    <r>
      <t>Platform surface (m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</si>
  <si>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Water per platform</t>
  </si>
  <si>
    <t>System cost</t>
  </si>
  <si>
    <t>Storage cost + rainwater filter</t>
  </si>
  <si>
    <t>IBA system + pump</t>
  </si>
  <si>
    <t xml:space="preserve">Water </t>
  </si>
  <si>
    <r>
      <t>m</t>
    </r>
    <r>
      <rPr>
        <vertAlign val="superscript"/>
        <sz val="10"/>
        <color theme="0" tint="-0.34998626667073579"/>
        <rFont val="Calibri"/>
        <family val="2"/>
        <scheme val="minor"/>
      </rPr>
      <t>2</t>
    </r>
  </si>
  <si>
    <t>(2)http://www.gwwmaterialen.nl/soortelijk-gewicht-materialen/</t>
  </si>
  <si>
    <t xml:space="preserve">721 kg per m2 </t>
  </si>
  <si>
    <t>Housing depth</t>
  </si>
  <si>
    <t xml:space="preserve">Platform depth </t>
  </si>
  <si>
    <t xml:space="preserve">Total depth </t>
  </si>
  <si>
    <t># needed</t>
  </si>
  <si>
    <t>Background calculation</t>
  </si>
  <si>
    <t>Water and energy</t>
  </si>
  <si>
    <t>Average costs per platform</t>
  </si>
  <si>
    <t>Amount of inhabitants</t>
  </si>
  <si>
    <t>General</t>
  </si>
  <si>
    <t>TOTALS</t>
  </si>
  <si>
    <t>EXAMPLE SOLAR PANELS</t>
  </si>
  <si>
    <t>HONDURAS</t>
  </si>
  <si>
    <t>COLOMBIA</t>
  </si>
  <si>
    <t>bridges between islands</t>
  </si>
  <si>
    <t>€/litre</t>
  </si>
  <si>
    <t>Generators 0,28 - 0,4 litre per kWh</t>
  </si>
  <si>
    <t>General input</t>
  </si>
  <si>
    <t>Bridges between islands</t>
  </si>
  <si>
    <t>Floor space per person</t>
  </si>
  <si>
    <t>[5] According to EIA 211 billion kWh/year is used by offices in the United States. This is divided by the total area of office space (12 billion sq ft. = 1,114,836,480 m2) as found in N. Miller's paper, 'Estimating Office Space per Worker', 2012.</t>
  </si>
  <si>
    <r>
      <t>W</t>
    </r>
    <r>
      <rPr>
        <b/>
        <i/>
        <vertAlign val="subscript"/>
        <sz val="10"/>
        <color theme="1"/>
        <rFont val="Calibri"/>
        <family val="2"/>
        <scheme val="minor"/>
      </rPr>
      <t xml:space="preserve"> peak</t>
    </r>
  </si>
  <si>
    <t xml:space="preserve">capacity </t>
  </si>
  <si>
    <t>operating costs</t>
  </si>
  <si>
    <t>Water Purifier 2500UV</t>
  </si>
  <si>
    <t>Washing machine</t>
  </si>
  <si>
    <t>only hotel not feasible overall feasible</t>
  </si>
  <si>
    <t>for a few months large storing capacity needed</t>
  </si>
  <si>
    <t xml:space="preserve">Amount (litters) </t>
  </si>
  <si>
    <t>Personal hygiene</t>
  </si>
  <si>
    <t>Misc.</t>
  </si>
  <si>
    <t>litter per day</t>
  </si>
  <si>
    <t>Once-thought cooling</t>
  </si>
  <si>
    <t>litter per flush</t>
  </si>
  <si>
    <t>litres per person per day</t>
  </si>
  <si>
    <t>litter for toilet</t>
  </si>
  <si>
    <t>Size, the system is about the size of a soda machine (1mx1mx2, 2m);</t>
  </si>
  <si>
    <t>3 kW generator for energy. The unit runs on gasoline.</t>
  </si>
  <si>
    <t>Sidewalks</t>
  </si>
  <si>
    <t>Total + development costs (fees, financing etc.)</t>
  </si>
  <si>
    <t>Conversion to Dollars</t>
  </si>
  <si>
    <t>costs</t>
  </si>
  <si>
    <t>costs/m²</t>
  </si>
  <si>
    <t>costs/m² gross</t>
  </si>
  <si>
    <t>costs / platform</t>
  </si>
  <si>
    <t>For 1 the calculation is in euros</t>
  </si>
  <si>
    <t>outer dimension, based on square shape</t>
  </si>
  <si>
    <t>Structure caisson</t>
  </si>
  <si>
    <t>outer wall thickness</t>
  </si>
  <si>
    <t>inner height</t>
  </si>
  <si>
    <t>inner width</t>
  </si>
  <si>
    <t>inner lenght</t>
  </si>
  <si>
    <t>outer walls</t>
  </si>
  <si>
    <t>inner walls</t>
  </si>
  <si>
    <t>Pentagon platforms</t>
  </si>
  <si>
    <t>Square platfroms</t>
  </si>
  <si>
    <t>Totals based on inhabitants</t>
  </si>
  <si>
    <t>(1) based on research from TSI</t>
  </si>
  <si>
    <t>USD/ft²</t>
  </si>
  <si>
    <t>$</t>
  </si>
  <si>
    <t>Distribution of ground space pentagon</t>
  </si>
  <si>
    <t>10% less efficient</t>
  </si>
  <si>
    <t xml:space="preserve">Vacant space (pentagon addition) </t>
  </si>
  <si>
    <t>€/kWh</t>
  </si>
  <si>
    <t>units</t>
  </si>
  <si>
    <t>GFA</t>
  </si>
  <si>
    <t xml:space="preserve">m² </t>
  </si>
  <si>
    <r>
      <rPr>
        <b/>
        <sz val="10"/>
        <color rgb="FF0070C0"/>
        <rFont val="Calibri"/>
        <family val="2"/>
        <scheme val="minor"/>
      </rPr>
      <t>m</t>
    </r>
    <r>
      <rPr>
        <b/>
        <sz val="10"/>
        <color rgb="FF0070C0"/>
        <rFont val="Calibri"/>
        <family val="2"/>
      </rPr>
      <t>²</t>
    </r>
    <r>
      <rPr>
        <b/>
        <sz val="10"/>
        <color rgb="FF0070C0"/>
        <rFont val="Calibri"/>
        <family val="2"/>
        <scheme val="minor"/>
      </rPr>
      <t>--&gt; ft</t>
    </r>
    <r>
      <rPr>
        <b/>
        <sz val="10"/>
        <color rgb="FF0070C0"/>
        <rFont val="Calibri"/>
        <family val="2"/>
      </rPr>
      <t>²</t>
    </r>
  </si>
  <si>
    <t>for residential space</t>
  </si>
  <si>
    <t>difference</t>
  </si>
  <si>
    <r>
      <t>Survey</t>
    </r>
    <r>
      <rPr>
        <b/>
        <sz val="10"/>
        <color theme="8"/>
        <rFont val="Calibri"/>
        <family val="2"/>
      </rPr>
      <t>¹</t>
    </r>
  </si>
  <si>
    <t>totals</t>
  </si>
  <si>
    <t>day</t>
  </si>
  <si>
    <r>
      <t>Micro grid</t>
    </r>
    <r>
      <rPr>
        <sz val="10"/>
        <color theme="1"/>
        <rFont val="Calibri"/>
        <family val="2"/>
      </rPr>
      <t>⁴ on time price for the system</t>
    </r>
  </si>
  <si>
    <t>costs per ft² UFA</t>
  </si>
  <si>
    <t>m² UFA</t>
  </si>
  <si>
    <t>average willingness to pay per ft² UFA based on TSI survey</t>
  </si>
  <si>
    <t xml:space="preserve">/m² </t>
  </si>
  <si>
    <t xml:space="preserve">/ft² </t>
  </si>
  <si>
    <t>(4) based on data from phono solar, the price of a micro grid per kWh for a solar system with a diesel engine backup is 0,71187 per kWh for the first year</t>
  </si>
  <si>
    <t>Annual costs (price based on 2012³)</t>
  </si>
  <si>
    <t>UFA = usable floor space</t>
  </si>
  <si>
    <t xml:space="preserve">Annual costs </t>
  </si>
  <si>
    <t>Price based on 2012³</t>
  </si>
  <si>
    <t>GFA = gross floor area</t>
  </si>
  <si>
    <t>UFA = usable floor area</t>
  </si>
  <si>
    <t>Costs GFA</t>
  </si>
  <si>
    <t>Costs GFA without energy and watersystem</t>
  </si>
  <si>
    <t>Costs UFA</t>
  </si>
  <si>
    <t>Costs UFA without energy and watersystem</t>
  </si>
  <si>
    <t>Gross floor area</t>
  </si>
  <si>
    <r>
      <t>Micro grid</t>
    </r>
    <r>
      <rPr>
        <sz val="10"/>
        <color theme="1"/>
        <rFont val="Calibri"/>
        <family val="2"/>
      </rPr>
      <t>⁴ one time price for the system</t>
    </r>
  </si>
  <si>
    <t xml:space="preserve">Systems </t>
  </si>
  <si>
    <t>This price per kW/h for the solar system is higher than the average price on the main land, and the conventional energy scenario due to the independent micro grid system, which is a one-time installation (based on an actual installation in the Maldives). The useful life of solar equipment ranges from 7-10 years for batteries and 25 years for panels themselves. Therefore, the actual cost per kw/h would be much lower in the micro-grid scenario.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</si>
</sst>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€&quot;\ #,##0.00;[Red]&quot;€&quot;\ \-#,##0.00"/>
    <numFmt numFmtId="165" formatCode="_ &quot;€&quot;\ * #,##0.00_ ;_ &quot;€&quot;\ * \-#,##0.00_ ;_ &quot;€&quot;\ * &quot;-&quot;??_ ;_ @_ "/>
    <numFmt numFmtId="166" formatCode="0.0%"/>
    <numFmt numFmtId="167" formatCode="#,##0.0"/>
    <numFmt numFmtId="168" formatCode="0.0"/>
    <numFmt numFmtId="169" formatCode="&quot;€&quot;\ #,##0"/>
    <numFmt numFmtId="170" formatCode="&quot;€&quot;\ #,##0.00"/>
    <numFmt numFmtId="171" formatCode="#,##0_ ;\-#,##0\ "/>
    <numFmt numFmtId="172" formatCode="[$$-1409]#,##0"/>
    <numFmt numFmtId="173" formatCode="#,##0_ ;[Red]\-#,##0\ "/>
  </numFmts>
  <fonts count="5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Segoe UI Light"/>
      <family val="2"/>
    </font>
    <font>
      <sz val="10"/>
      <color theme="1"/>
      <name val="Segoe UI Light"/>
      <family val="2"/>
    </font>
    <font>
      <sz val="11"/>
      <color theme="1"/>
      <name val="Segoe UI Light"/>
      <family val="2"/>
    </font>
    <font>
      <sz val="10"/>
      <color rgb="FF333333"/>
      <name val="Arial"/>
      <family val="2"/>
    </font>
    <font>
      <sz val="10"/>
      <color rgb="FFFF0000"/>
      <name val="Verdana"/>
      <family val="2"/>
    </font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vertAlign val="subscript"/>
      <sz val="10"/>
      <color theme="1"/>
      <name val="Calibri"/>
      <family val="2"/>
      <scheme val="minor"/>
    </font>
    <font>
      <b/>
      <i/>
      <vertAlign val="superscript"/>
      <sz val="10"/>
      <color theme="1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8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Segoe UI Light"/>
      <family val="2"/>
    </font>
    <font>
      <sz val="10"/>
      <name val="Segoe UI Light"/>
      <family val="2"/>
    </font>
    <font>
      <sz val="10"/>
      <color theme="0" tint="-0.34998626667073579"/>
      <name val="Calibri"/>
      <family val="2"/>
      <scheme val="minor"/>
    </font>
    <font>
      <sz val="11"/>
      <color rgb="FF92D050"/>
      <name val="Calibri"/>
      <family val="2"/>
      <scheme val="minor"/>
    </font>
    <font>
      <sz val="10"/>
      <color rgb="FF92D050"/>
      <name val="Verdana"/>
      <family val="2"/>
    </font>
    <font>
      <b/>
      <sz val="10"/>
      <color rgb="FF00B05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vertAlign val="superscript"/>
      <sz val="10"/>
      <color theme="0" tint="-0.3499862666707357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vertAlign val="superscript"/>
      <sz val="10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vertAlign val="superscript"/>
      <sz val="10"/>
      <color theme="0" tint="-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0070C0"/>
      <name val="Calibri"/>
      <family val="2"/>
    </font>
    <font>
      <b/>
      <sz val="10"/>
      <color theme="8"/>
      <name val="Calibri"/>
      <family val="2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C0C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theme="8"/>
      </bottom>
      <diagonal/>
    </border>
    <border>
      <left style="thin">
        <color auto="1"/>
      </left>
      <right/>
      <top style="thin">
        <color auto="1"/>
      </top>
      <bottom style="thin">
        <color theme="8"/>
      </bottom>
      <diagonal/>
    </border>
    <border>
      <left/>
      <right/>
      <top style="thin">
        <color auto="1"/>
      </top>
      <bottom style="thin">
        <color theme="8"/>
      </bottom>
      <diagonal/>
    </border>
    <border>
      <left/>
      <right style="thin">
        <color auto="1"/>
      </right>
      <top style="thin">
        <color auto="1"/>
      </top>
      <bottom style="thin">
        <color theme="8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66">
    <xf numFmtId="0" fontId="0" fillId="0" borderId="0" xfId="0"/>
    <xf numFmtId="0" fontId="0" fillId="0" borderId="0" xfId="0" quotePrefix="1"/>
    <xf numFmtId="0" fontId="0" fillId="0" borderId="0" xfId="0" applyBorder="1"/>
    <xf numFmtId="0" fontId="0" fillId="0" borderId="0" xfId="0"/>
    <xf numFmtId="0" fontId="16" fillId="2" borderId="4" xfId="0" applyFont="1" applyFill="1" applyBorder="1"/>
    <xf numFmtId="0" fontId="16" fillId="3" borderId="4" xfId="0" applyFont="1" applyFill="1" applyBorder="1"/>
    <xf numFmtId="9" fontId="16" fillId="3" borderId="14" xfId="2" applyFont="1" applyFill="1" applyBorder="1"/>
    <xf numFmtId="0" fontId="16" fillId="0" borderId="0" xfId="0" applyFont="1" applyBorder="1"/>
    <xf numFmtId="0" fontId="16" fillId="3" borderId="0" xfId="0" quotePrefix="1" applyFont="1" applyFill="1"/>
    <xf numFmtId="0" fontId="24" fillId="0" borderId="0" xfId="1" applyFont="1"/>
    <xf numFmtId="0" fontId="19" fillId="0" borderId="0" xfId="0" applyFont="1"/>
    <xf numFmtId="0" fontId="16" fillId="2" borderId="0" xfId="0" applyFont="1" applyFill="1" applyBorder="1"/>
    <xf numFmtId="0" fontId="16" fillId="2" borderId="5" xfId="0" applyFont="1" applyFill="1" applyBorder="1"/>
    <xf numFmtId="0" fontId="16" fillId="2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/>
    <xf numFmtId="0" fontId="16" fillId="2" borderId="9" xfId="0" applyFont="1" applyFill="1" applyBorder="1"/>
    <xf numFmtId="0" fontId="16" fillId="4" borderId="12" xfId="0" applyFont="1" applyFill="1" applyBorder="1"/>
    <xf numFmtId="0" fontId="16" fillId="4" borderId="12" xfId="0" quotePrefix="1" applyFont="1" applyFill="1" applyBorder="1"/>
    <xf numFmtId="0" fontId="25" fillId="0" borderId="0" xfId="0" applyFont="1"/>
    <xf numFmtId="0" fontId="21" fillId="0" borderId="0" xfId="0" applyFont="1"/>
    <xf numFmtId="0" fontId="0" fillId="0" borderId="34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5" xfId="0" applyFont="1" applyFill="1" applyBorder="1"/>
    <xf numFmtId="0" fontId="0" fillId="0" borderId="19" xfId="0" applyFont="1" applyFill="1" applyBorder="1"/>
    <xf numFmtId="168" fontId="0" fillId="0" borderId="12" xfId="0" applyNumberFormat="1" applyBorder="1"/>
    <xf numFmtId="0" fontId="0" fillId="0" borderId="16" xfId="0" applyBorder="1"/>
    <xf numFmtId="0" fontId="0" fillId="0" borderId="17" xfId="0" applyBorder="1"/>
    <xf numFmtId="0" fontId="0" fillId="0" borderId="35" xfId="0" applyBorder="1"/>
    <xf numFmtId="168" fontId="0" fillId="0" borderId="36" xfId="0" applyNumberFormat="1" applyBorder="1"/>
    <xf numFmtId="0" fontId="0" fillId="0" borderId="37" xfId="0" applyBorder="1"/>
    <xf numFmtId="0" fontId="1" fillId="0" borderId="21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0" fillId="0" borderId="18" xfId="0" applyBorder="1"/>
    <xf numFmtId="168" fontId="0" fillId="0" borderId="15" xfId="0" applyNumberFormat="1" applyBorder="1"/>
    <xf numFmtId="0" fontId="0" fillId="0" borderId="19" xfId="0" applyBorder="1"/>
    <xf numFmtId="0" fontId="0" fillId="0" borderId="24" xfId="0" applyBorder="1"/>
    <xf numFmtId="0" fontId="16" fillId="3" borderId="30" xfId="0" applyFont="1" applyFill="1" applyBorder="1"/>
    <xf numFmtId="0" fontId="16" fillId="3" borderId="24" xfId="0" applyFont="1" applyFill="1" applyBorder="1"/>
    <xf numFmtId="0" fontId="16" fillId="3" borderId="25" xfId="0" applyFont="1" applyFill="1" applyBorder="1"/>
    <xf numFmtId="0" fontId="2" fillId="2" borderId="0" xfId="0" applyFont="1" applyFill="1"/>
    <xf numFmtId="169" fontId="16" fillId="2" borderId="0" xfId="0" applyNumberFormat="1" applyFont="1" applyFill="1" applyBorder="1"/>
    <xf numFmtId="169" fontId="15" fillId="2" borderId="0" xfId="0" applyNumberFormat="1" applyFont="1" applyFill="1" applyBorder="1"/>
    <xf numFmtId="0" fontId="27" fillId="2" borderId="0" xfId="0" applyFont="1" applyFill="1" applyBorder="1"/>
    <xf numFmtId="0" fontId="15" fillId="2" borderId="0" xfId="0" applyFont="1" applyFill="1" applyBorder="1"/>
    <xf numFmtId="0" fontId="16" fillId="2" borderId="31" xfId="0" applyFont="1" applyFill="1" applyBorder="1"/>
    <xf numFmtId="169" fontId="16" fillId="2" borderId="31" xfId="0" applyNumberFormat="1" applyFont="1" applyFill="1" applyBorder="1"/>
    <xf numFmtId="2" fontId="16" fillId="2" borderId="31" xfId="0" applyNumberFormat="1" applyFont="1" applyFill="1" applyBorder="1"/>
    <xf numFmtId="0" fontId="16" fillId="2" borderId="0" xfId="0" applyFont="1" applyFill="1"/>
    <xf numFmtId="169" fontId="16" fillId="2" borderId="0" xfId="0" applyNumberFormat="1" applyFont="1" applyFill="1"/>
    <xf numFmtId="2" fontId="16" fillId="2" borderId="0" xfId="0" applyNumberFormat="1" applyFont="1" applyFill="1"/>
    <xf numFmtId="0" fontId="30" fillId="2" borderId="47" xfId="0" applyFont="1" applyFill="1" applyBorder="1"/>
    <xf numFmtId="1" fontId="16" fillId="2" borderId="0" xfId="0" applyNumberFormat="1" applyFont="1" applyFill="1" applyBorder="1"/>
    <xf numFmtId="170" fontId="16" fillId="2" borderId="31" xfId="0" applyNumberFormat="1" applyFont="1" applyFill="1" applyBorder="1"/>
    <xf numFmtId="1" fontId="16" fillId="2" borderId="31" xfId="0" applyNumberFormat="1" applyFont="1" applyFill="1" applyBorder="1"/>
    <xf numFmtId="1" fontId="16" fillId="2" borderId="0" xfId="0" applyNumberFormat="1" applyFont="1" applyFill="1"/>
    <xf numFmtId="169" fontId="2" fillId="2" borderId="0" xfId="0" applyNumberFormat="1" applyFont="1" applyFill="1"/>
    <xf numFmtId="2" fontId="2" fillId="2" borderId="0" xfId="0" applyNumberFormat="1" applyFont="1" applyFill="1"/>
    <xf numFmtId="3" fontId="16" fillId="2" borderId="0" xfId="0" applyNumberFormat="1" applyFont="1" applyFill="1"/>
    <xf numFmtId="0" fontId="16" fillId="2" borderId="34" xfId="0" applyFont="1" applyFill="1" applyBorder="1"/>
    <xf numFmtId="0" fontId="16" fillId="2" borderId="25" xfId="0" applyFont="1" applyFill="1" applyBorder="1"/>
    <xf numFmtId="0" fontId="16" fillId="2" borderId="41" xfId="0" applyFont="1" applyFill="1" applyBorder="1"/>
    <xf numFmtId="0" fontId="16" fillId="2" borderId="29" xfId="0" applyFont="1" applyFill="1" applyBorder="1"/>
    <xf numFmtId="0" fontId="16" fillId="2" borderId="45" xfId="0" applyFont="1" applyFill="1" applyBorder="1"/>
    <xf numFmtId="0" fontId="16" fillId="2" borderId="26" xfId="0" applyFont="1" applyFill="1" applyBorder="1"/>
    <xf numFmtId="0" fontId="16" fillId="2" borderId="27" xfId="0" applyFont="1" applyFill="1" applyBorder="1"/>
    <xf numFmtId="0" fontId="16" fillId="2" borderId="32" xfId="0" applyFont="1" applyFill="1" applyBorder="1"/>
    <xf numFmtId="0" fontId="16" fillId="2" borderId="24" xfId="0" applyFont="1" applyFill="1" applyBorder="1"/>
    <xf numFmtId="0" fontId="16" fillId="2" borderId="22" xfId="0" applyFont="1" applyFill="1" applyBorder="1"/>
    <xf numFmtId="0" fontId="16" fillId="2" borderId="23" xfId="0" applyFont="1" applyFill="1" applyBorder="1"/>
    <xf numFmtId="0" fontId="15" fillId="2" borderId="21" xfId="0" applyFont="1" applyFill="1" applyBorder="1"/>
    <xf numFmtId="0" fontId="0" fillId="6" borderId="0" xfId="0" applyFill="1"/>
    <xf numFmtId="0" fontId="0" fillId="2" borderId="0" xfId="0" applyFill="1"/>
    <xf numFmtId="0" fontId="16" fillId="2" borderId="30" xfId="0" applyFont="1" applyFill="1" applyBorder="1"/>
    <xf numFmtId="0" fontId="16" fillId="2" borderId="22" xfId="0" applyFont="1" applyFill="1" applyBorder="1" applyAlignment="1">
      <alignment horizontal="left"/>
    </xf>
    <xf numFmtId="9" fontId="16" fillId="2" borderId="46" xfId="2" applyFont="1" applyFill="1" applyBorder="1"/>
    <xf numFmtId="0" fontId="14" fillId="2" borderId="0" xfId="0" applyFont="1" applyFill="1"/>
    <xf numFmtId="0" fontId="0" fillId="2" borderId="22" xfId="0" applyFill="1" applyBorder="1"/>
    <xf numFmtId="0" fontId="0" fillId="2" borderId="23" xfId="0" applyFill="1" applyBorder="1"/>
    <xf numFmtId="3" fontId="15" fillId="2" borderId="0" xfId="0" applyNumberFormat="1" applyFont="1" applyFill="1" applyBorder="1"/>
    <xf numFmtId="9" fontId="16" fillId="2" borderId="0" xfId="0" applyNumberFormat="1" applyFont="1" applyFill="1"/>
    <xf numFmtId="9" fontId="16" fillId="2" borderId="0" xfId="0" applyNumberFormat="1" applyFont="1" applyFill="1" applyBorder="1"/>
    <xf numFmtId="1" fontId="16" fillId="3" borderId="31" xfId="0" applyNumberFormat="1" applyFont="1" applyFill="1" applyBorder="1"/>
    <xf numFmtId="3" fontId="16" fillId="2" borderId="0" xfId="0" applyNumberFormat="1" applyFont="1" applyFill="1" applyBorder="1"/>
    <xf numFmtId="3" fontId="15" fillId="2" borderId="0" xfId="0" applyNumberFormat="1" applyFont="1" applyFill="1"/>
    <xf numFmtId="0" fontId="0" fillId="7" borderId="9" xfId="0" applyFill="1" applyBorder="1"/>
    <xf numFmtId="0" fontId="33" fillId="5" borderId="9" xfId="0" applyFont="1" applyFill="1" applyBorder="1"/>
    <xf numFmtId="0" fontId="34" fillId="5" borderId="9" xfId="0" applyFont="1" applyFill="1" applyBorder="1"/>
    <xf numFmtId="0" fontId="26" fillId="5" borderId="9" xfId="0" applyFont="1" applyFill="1" applyBorder="1"/>
    <xf numFmtId="3" fontId="16" fillId="2" borderId="31" xfId="0" applyNumberFormat="1" applyFont="1" applyFill="1" applyBorder="1"/>
    <xf numFmtId="2" fontId="16" fillId="2" borderId="0" xfId="0" applyNumberFormat="1" applyFont="1" applyFill="1" applyBorder="1"/>
    <xf numFmtId="0" fontId="0" fillId="2" borderId="31" xfId="0" applyFill="1" applyBorder="1"/>
    <xf numFmtId="0" fontId="30" fillId="2" borderId="48" xfId="0" applyFont="1" applyFill="1" applyBorder="1"/>
    <xf numFmtId="0" fontId="16" fillId="2" borderId="49" xfId="0" applyFont="1" applyFill="1" applyBorder="1"/>
    <xf numFmtId="0" fontId="16" fillId="2" borderId="49" xfId="0" applyFont="1" applyFill="1" applyBorder="1" applyAlignment="1">
      <alignment horizontal="right"/>
    </xf>
    <xf numFmtId="169" fontId="29" fillId="2" borderId="49" xfId="0" applyNumberFormat="1" applyFont="1" applyFill="1" applyBorder="1" applyAlignment="1">
      <alignment horizontal="right"/>
    </xf>
    <xf numFmtId="0" fontId="16" fillId="2" borderId="50" xfId="0" applyFont="1" applyFill="1" applyBorder="1"/>
    <xf numFmtId="0" fontId="0" fillId="2" borderId="5" xfId="0" applyFill="1" applyBorder="1"/>
    <xf numFmtId="0" fontId="0" fillId="2" borderId="45" xfId="0" applyFill="1" applyBorder="1"/>
    <xf numFmtId="0" fontId="15" fillId="2" borderId="4" xfId="0" applyFont="1" applyFill="1" applyBorder="1"/>
    <xf numFmtId="0" fontId="15" fillId="2" borderId="6" xfId="0" applyFont="1" applyFill="1" applyBorder="1"/>
    <xf numFmtId="0" fontId="15" fillId="2" borderId="7" xfId="0" applyFont="1" applyFill="1" applyBorder="1"/>
    <xf numFmtId="169" fontId="15" fillId="2" borderId="7" xfId="0" applyNumberFormat="1" applyFont="1" applyFill="1" applyBorder="1"/>
    <xf numFmtId="0" fontId="15" fillId="2" borderId="8" xfId="0" applyFont="1" applyFill="1" applyBorder="1"/>
    <xf numFmtId="0" fontId="16" fillId="2" borderId="1" xfId="0" applyFont="1" applyFill="1" applyBorder="1"/>
    <xf numFmtId="3" fontId="16" fillId="2" borderId="2" xfId="0" applyNumberFormat="1" applyFont="1" applyFill="1" applyBorder="1"/>
    <xf numFmtId="0" fontId="0" fillId="2" borderId="3" xfId="0" applyFill="1" applyBorder="1"/>
    <xf numFmtId="169" fontId="16" fillId="2" borderId="45" xfId="0" applyNumberFormat="1" applyFont="1" applyFill="1" applyBorder="1"/>
    <xf numFmtId="1" fontId="16" fillId="2" borderId="7" xfId="0" applyNumberFormat="1" applyFont="1" applyFill="1" applyBorder="1"/>
    <xf numFmtId="2" fontId="16" fillId="2" borderId="7" xfId="0" applyNumberFormat="1" applyFont="1" applyFill="1" applyBorder="1"/>
    <xf numFmtId="169" fontId="16" fillId="2" borderId="8" xfId="0" applyNumberFormat="1" applyFont="1" applyFill="1" applyBorder="1"/>
    <xf numFmtId="169" fontId="16" fillId="2" borderId="5" xfId="0" applyNumberFormat="1" applyFont="1" applyFill="1" applyBorder="1"/>
    <xf numFmtId="0" fontId="27" fillId="2" borderId="7" xfId="0" applyFont="1" applyFill="1" applyBorder="1"/>
    <xf numFmtId="170" fontId="16" fillId="2" borderId="0" xfId="0" applyNumberFormat="1" applyFont="1" applyFill="1" applyBorder="1"/>
    <xf numFmtId="170" fontId="15" fillId="2" borderId="7" xfId="0" applyNumberFormat="1" applyFont="1" applyFill="1" applyBorder="1"/>
    <xf numFmtId="2" fontId="16" fillId="2" borderId="49" xfId="0" applyNumberFormat="1" applyFont="1" applyFill="1" applyBorder="1"/>
    <xf numFmtId="0" fontId="16" fillId="2" borderId="2" xfId="0" applyFont="1" applyFill="1" applyBorder="1"/>
    <xf numFmtId="0" fontId="0" fillId="2" borderId="0" xfId="0" applyFill="1" applyBorder="1"/>
    <xf numFmtId="0" fontId="15" fillId="2" borderId="10" xfId="0" applyFont="1" applyFill="1" applyBorder="1"/>
    <xf numFmtId="0" fontId="15" fillId="2" borderId="9" xfId="0" applyFont="1" applyFill="1" applyBorder="1"/>
    <xf numFmtId="0" fontId="0" fillId="2" borderId="11" xfId="0" applyFill="1" applyBorder="1"/>
    <xf numFmtId="0" fontId="15" fillId="2" borderId="51" xfId="0" applyFont="1" applyFill="1" applyBorder="1"/>
    <xf numFmtId="0" fontId="15" fillId="2" borderId="52" xfId="0" applyFont="1" applyFill="1" applyBorder="1"/>
    <xf numFmtId="0" fontId="0" fillId="2" borderId="53" xfId="0" applyFill="1" applyBorder="1"/>
    <xf numFmtId="0" fontId="0" fillId="2" borderId="8" xfId="0" applyFill="1" applyBorder="1"/>
    <xf numFmtId="0" fontId="15" fillId="2" borderId="53" xfId="0" applyFont="1" applyFill="1" applyBorder="1"/>
    <xf numFmtId="0" fontId="30" fillId="2" borderId="50" xfId="0" applyFont="1" applyFill="1" applyBorder="1"/>
    <xf numFmtId="170" fontId="16" fillId="2" borderId="5" xfId="0" applyNumberFormat="1" applyFont="1" applyFill="1" applyBorder="1"/>
    <xf numFmtId="3" fontId="16" fillId="2" borderId="7" xfId="0" applyNumberFormat="1" applyFont="1" applyFill="1" applyBorder="1"/>
    <xf numFmtId="0" fontId="30" fillId="2" borderId="47" xfId="0" applyFont="1" applyFill="1" applyBorder="1" applyAlignment="1">
      <alignment horizontal="right"/>
    </xf>
    <xf numFmtId="0" fontId="1" fillId="2" borderId="0" xfId="0" applyFont="1" applyFill="1"/>
    <xf numFmtId="0" fontId="15" fillId="2" borderId="0" xfId="0" applyFont="1" applyFill="1"/>
    <xf numFmtId="0" fontId="16" fillId="2" borderId="10" xfId="0" applyFont="1" applyFill="1" applyBorder="1"/>
    <xf numFmtId="0" fontId="16" fillId="2" borderId="11" xfId="0" applyFont="1" applyFill="1" applyBorder="1"/>
    <xf numFmtId="0" fontId="4" fillId="2" borderId="0" xfId="1" applyFill="1"/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9" fontId="0" fillId="2" borderId="0" xfId="0" applyNumberFormat="1" applyFill="1"/>
    <xf numFmtId="0" fontId="7" fillId="2" borderId="0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0" fillId="2" borderId="4" xfId="0" applyFill="1" applyBorder="1"/>
    <xf numFmtId="0" fontId="15" fillId="2" borderId="11" xfId="0" applyFont="1" applyFill="1" applyBorder="1"/>
    <xf numFmtId="0" fontId="0" fillId="2" borderId="9" xfId="0" applyFill="1" applyBorder="1"/>
    <xf numFmtId="0" fontId="15" fillId="2" borderId="0" xfId="0" applyFont="1" applyFill="1" applyAlignment="1">
      <alignment horizontal="right"/>
    </xf>
    <xf numFmtId="0" fontId="32" fillId="2" borderId="0" xfId="0" applyFont="1" applyFill="1"/>
    <xf numFmtId="0" fontId="35" fillId="2" borderId="0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vertical="center" wrapText="1"/>
    </xf>
    <xf numFmtId="0" fontId="12" fillId="2" borderId="0" xfId="0" applyFont="1" applyFill="1"/>
    <xf numFmtId="0" fontId="37" fillId="2" borderId="0" xfId="0" applyFont="1" applyFill="1"/>
    <xf numFmtId="9" fontId="37" fillId="2" borderId="0" xfId="0" applyNumberFormat="1" applyFont="1" applyFill="1"/>
    <xf numFmtId="0" fontId="16" fillId="2" borderId="3" xfId="0" applyFont="1" applyFill="1" applyBorder="1"/>
    <xf numFmtId="2" fontId="15" fillId="2" borderId="11" xfId="0" applyNumberFormat="1" applyFont="1" applyFill="1" applyBorder="1"/>
    <xf numFmtId="0" fontId="0" fillId="2" borderId="2" xfId="0" applyFill="1" applyBorder="1"/>
    <xf numFmtId="0" fontId="0" fillId="2" borderId="10" xfId="0" applyFill="1" applyBorder="1"/>
    <xf numFmtId="9" fontId="37" fillId="2" borderId="0" xfId="2" applyFont="1" applyFill="1"/>
    <xf numFmtId="2" fontId="16" fillId="2" borderId="11" xfId="0" applyNumberFormat="1" applyFont="1" applyFill="1" applyBorder="1"/>
    <xf numFmtId="2" fontId="16" fillId="2" borderId="5" xfId="0" applyNumberFormat="1" applyFont="1" applyFill="1" applyBorder="1"/>
    <xf numFmtId="0" fontId="16" fillId="2" borderId="0" xfId="0" applyFont="1" applyFill="1" applyAlignment="1">
      <alignment horizontal="right"/>
    </xf>
    <xf numFmtId="0" fontId="15" fillId="2" borderId="34" xfId="0" applyFont="1" applyFill="1" applyBorder="1"/>
    <xf numFmtId="0" fontId="16" fillId="3" borderId="31" xfId="0" applyFont="1" applyFill="1" applyBorder="1"/>
    <xf numFmtId="0" fontId="16" fillId="2" borderId="25" xfId="0" applyFont="1" applyFill="1" applyBorder="1" applyAlignment="1">
      <alignment horizontal="right"/>
    </xf>
    <xf numFmtId="3" fontId="0" fillId="2" borderId="0" xfId="0" applyNumberFormat="1" applyFill="1"/>
    <xf numFmtId="0" fontId="3" fillId="2" borderId="0" xfId="0" applyFont="1" applyFill="1"/>
    <xf numFmtId="0" fontId="0" fillId="2" borderId="0" xfId="0" applyFont="1" applyFill="1"/>
    <xf numFmtId="0" fontId="38" fillId="2" borderId="0" xfId="0" applyFont="1" applyFill="1"/>
    <xf numFmtId="0" fontId="3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/>
    <xf numFmtId="0" fontId="5" fillId="2" borderId="0" xfId="0" applyFont="1" applyFill="1"/>
    <xf numFmtId="0" fontId="9" fillId="2" borderId="0" xfId="0" applyFont="1" applyFill="1" applyAlignment="1">
      <alignment vertical="center" wrapText="1"/>
    </xf>
    <xf numFmtId="0" fontId="0" fillId="2" borderId="0" xfId="0" applyFill="1" applyAlignment="1">
      <alignment horizontal="right"/>
    </xf>
    <xf numFmtId="0" fontId="0" fillId="2" borderId="0" xfId="0" applyFont="1" applyFill="1" applyAlignment="1">
      <alignment horizontal="right"/>
    </xf>
    <xf numFmtId="168" fontId="16" fillId="2" borderId="0" xfId="0" applyNumberFormat="1" applyFont="1" applyFill="1" applyBorder="1"/>
    <xf numFmtId="3" fontId="40" fillId="2" borderId="0" xfId="0" applyNumberFormat="1" applyFont="1" applyFill="1" applyAlignment="1">
      <alignment horizontal="left"/>
    </xf>
    <xf numFmtId="3" fontId="41" fillId="2" borderId="0" xfId="0" applyNumberFormat="1" applyFont="1" applyFill="1" applyAlignment="1">
      <alignment horizontal="left"/>
    </xf>
    <xf numFmtId="0" fontId="42" fillId="2" borderId="0" xfId="0" applyFont="1" applyFill="1"/>
    <xf numFmtId="0" fontId="15" fillId="2" borderId="12" xfId="0" applyFont="1" applyFill="1" applyBorder="1"/>
    <xf numFmtId="0" fontId="15" fillId="2" borderId="11" xfId="0" applyFont="1" applyFill="1" applyBorder="1" applyAlignment="1">
      <alignment horizontal="right"/>
    </xf>
    <xf numFmtId="3" fontId="16" fillId="2" borderId="3" xfId="0" applyNumberFormat="1" applyFont="1" applyFill="1" applyBorder="1"/>
    <xf numFmtId="3" fontId="16" fillId="2" borderId="5" xfId="0" applyNumberFormat="1" applyFont="1" applyFill="1" applyBorder="1"/>
    <xf numFmtId="3" fontId="16" fillId="2" borderId="8" xfId="0" applyNumberFormat="1" applyFont="1" applyFill="1" applyBorder="1"/>
    <xf numFmtId="0" fontId="16" fillId="2" borderId="14" xfId="0" applyFont="1" applyFill="1" applyBorder="1"/>
    <xf numFmtId="3" fontId="16" fillId="2" borderId="11" xfId="0" applyNumberFormat="1" applyFont="1" applyFill="1" applyBorder="1"/>
    <xf numFmtId="167" fontId="16" fillId="2" borderId="3" xfId="0" applyNumberFormat="1" applyFont="1" applyFill="1" applyBorder="1"/>
    <xf numFmtId="167" fontId="16" fillId="2" borderId="5" xfId="0" applyNumberFormat="1" applyFont="1" applyFill="1" applyBorder="1"/>
    <xf numFmtId="167" fontId="16" fillId="2" borderId="8" xfId="0" applyNumberFormat="1" applyFont="1" applyFill="1" applyBorder="1"/>
    <xf numFmtId="0" fontId="21" fillId="2" borderId="0" xfId="0" applyFont="1" applyFill="1"/>
    <xf numFmtId="0" fontId="19" fillId="2" borderId="0" xfId="0" applyFont="1" applyFill="1"/>
    <xf numFmtId="0" fontId="24" fillId="2" borderId="0" xfId="1" applyFont="1" applyFill="1"/>
    <xf numFmtId="0" fontId="19" fillId="2" borderId="0" xfId="0" applyFont="1" applyFill="1" applyAlignment="1">
      <alignment vertical="top" wrapText="1"/>
    </xf>
    <xf numFmtId="9" fontId="37" fillId="2" borderId="0" xfId="2" applyNumberFormat="1" applyFont="1" applyFill="1" applyBorder="1"/>
    <xf numFmtId="9" fontId="37" fillId="2" borderId="0" xfId="0" applyNumberFormat="1" applyFont="1" applyFill="1" applyBorder="1"/>
    <xf numFmtId="0" fontId="43" fillId="2" borderId="0" xfId="0" applyFont="1" applyFill="1" applyBorder="1"/>
    <xf numFmtId="166" fontId="37" fillId="2" borderId="0" xfId="2" applyNumberFormat="1" applyFont="1" applyFill="1" applyBorder="1"/>
    <xf numFmtId="166" fontId="37" fillId="2" borderId="0" xfId="0" applyNumberFormat="1" applyFont="1" applyFill="1" applyBorder="1"/>
    <xf numFmtId="0" fontId="19" fillId="2" borderId="0" xfId="0" applyFont="1" applyFill="1" applyBorder="1"/>
    <xf numFmtId="0" fontId="24" fillId="2" borderId="0" xfId="1" applyFont="1" applyFill="1" applyBorder="1"/>
    <xf numFmtId="0" fontId="19" fillId="2" borderId="0" xfId="0" applyFont="1" applyFill="1" applyBorder="1" applyAlignment="1">
      <alignment vertical="top" wrapText="1"/>
    </xf>
    <xf numFmtId="0" fontId="15" fillId="2" borderId="9" xfId="0" applyFont="1" applyFill="1" applyBorder="1" applyAlignment="1">
      <alignment horizontal="right"/>
    </xf>
    <xf numFmtId="3" fontId="16" fillId="2" borderId="9" xfId="0" applyNumberFormat="1" applyFont="1" applyFill="1" applyBorder="1"/>
    <xf numFmtId="167" fontId="16" fillId="2" borderId="2" xfId="0" applyNumberFormat="1" applyFont="1" applyFill="1" applyBorder="1"/>
    <xf numFmtId="167" fontId="16" fillId="2" borderId="0" xfId="0" applyNumberFormat="1" applyFont="1" applyFill="1" applyBorder="1"/>
    <xf numFmtId="167" fontId="16" fillId="2" borderId="7" xfId="0" applyNumberFormat="1" applyFont="1" applyFill="1" applyBorder="1"/>
    <xf numFmtId="167" fontId="16" fillId="2" borderId="9" xfId="0" applyNumberFormat="1" applyFont="1" applyFill="1" applyBorder="1"/>
    <xf numFmtId="0" fontId="13" fillId="2" borderId="0" xfId="0" applyFont="1" applyFill="1"/>
    <xf numFmtId="0" fontId="21" fillId="2" borderId="1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0" fontId="21" fillId="2" borderId="4" xfId="0" applyFont="1" applyFill="1" applyBorder="1"/>
    <xf numFmtId="0" fontId="16" fillId="2" borderId="4" xfId="0" applyFont="1" applyFill="1" applyBorder="1" applyAlignment="1">
      <alignment horizontal="left" indent="1"/>
    </xf>
    <xf numFmtId="0" fontId="16" fillId="2" borderId="6" xfId="0" applyFont="1" applyFill="1" applyBorder="1" applyAlignment="1">
      <alignment horizontal="left" indent="1"/>
    </xf>
    <xf numFmtId="1" fontId="16" fillId="2" borderId="10" xfId="0" applyNumberFormat="1" applyFont="1" applyFill="1" applyBorder="1"/>
    <xf numFmtId="1" fontId="16" fillId="2" borderId="11" xfId="0" applyNumberFormat="1" applyFont="1" applyFill="1" applyBorder="1"/>
    <xf numFmtId="0" fontId="31" fillId="3" borderId="4" xfId="0" applyFont="1" applyFill="1" applyBorder="1"/>
    <xf numFmtId="9" fontId="31" fillId="3" borderId="4" xfId="0" applyNumberFormat="1" applyFont="1" applyFill="1" applyBorder="1"/>
    <xf numFmtId="168" fontId="31" fillId="3" borderId="4" xfId="0" applyNumberFormat="1" applyFont="1" applyFill="1" applyBorder="1"/>
    <xf numFmtId="168" fontId="16" fillId="2" borderId="5" xfId="0" applyNumberFormat="1" applyFont="1" applyFill="1" applyBorder="1"/>
    <xf numFmtId="168" fontId="16" fillId="2" borderId="8" xfId="0" applyNumberFormat="1" applyFont="1" applyFill="1" applyBorder="1"/>
    <xf numFmtId="0" fontId="15" fillId="2" borderId="0" xfId="0" applyFont="1" applyFill="1" applyBorder="1" applyAlignment="1">
      <alignment horizontal="right"/>
    </xf>
    <xf numFmtId="0" fontId="0" fillId="2" borderId="0" xfId="0" quotePrefix="1" applyFill="1" applyBorder="1"/>
    <xf numFmtId="0" fontId="45" fillId="2" borderId="47" xfId="0" applyFont="1" applyFill="1" applyBorder="1"/>
    <xf numFmtId="0" fontId="16" fillId="2" borderId="0" xfId="0" applyFont="1" applyFill="1" applyBorder="1" applyAlignment="1">
      <alignment horizontal="left" indent="1"/>
    </xf>
    <xf numFmtId="3" fontId="16" fillId="2" borderId="0" xfId="0" applyNumberFormat="1" applyFont="1" applyFill="1" applyBorder="1" applyAlignment="1">
      <alignment horizontal="right"/>
    </xf>
    <xf numFmtId="1" fontId="16" fillId="2" borderId="0" xfId="0" applyNumberFormat="1" applyFont="1" applyFill="1" applyBorder="1" applyAlignment="1">
      <alignment horizontal="right"/>
    </xf>
    <xf numFmtId="168" fontId="16" fillId="2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47" fillId="2" borderId="0" xfId="0" applyFont="1" applyFill="1" applyBorder="1"/>
    <xf numFmtId="0" fontId="47" fillId="2" borderId="0" xfId="0" applyFont="1" applyFill="1"/>
    <xf numFmtId="2" fontId="16" fillId="2" borderId="2" xfId="0" applyNumberFormat="1" applyFont="1" applyFill="1" applyBorder="1"/>
    <xf numFmtId="0" fontId="30" fillId="2" borderId="49" xfId="0" applyFont="1" applyFill="1" applyBorder="1" applyAlignment="1">
      <alignment horizontal="right"/>
    </xf>
    <xf numFmtId="0" fontId="15" fillId="2" borderId="15" xfId="0" applyFont="1" applyFill="1" applyBorder="1"/>
    <xf numFmtId="0" fontId="16" fillId="2" borderId="0" xfId="0" applyFont="1" applyFill="1" applyAlignment="1"/>
    <xf numFmtId="0" fontId="19" fillId="2" borderId="0" xfId="0" applyFont="1" applyFill="1" applyAlignment="1">
      <alignment vertical="center" wrapText="1"/>
    </xf>
    <xf numFmtId="0" fontId="16" fillId="2" borderId="15" xfId="0" applyFont="1" applyFill="1" applyBorder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15" fillId="2" borderId="7" xfId="0" applyFont="1" applyFill="1" applyBorder="1" applyAlignment="1">
      <alignment wrapText="1"/>
    </xf>
    <xf numFmtId="0" fontId="16" fillId="2" borderId="0" xfId="0" applyFont="1" applyFill="1" applyAlignment="1">
      <alignment wrapText="1"/>
    </xf>
    <xf numFmtId="3" fontId="16" fillId="3" borderId="0" xfId="0" applyNumberFormat="1" applyFont="1" applyFill="1"/>
    <xf numFmtId="3" fontId="16" fillId="3" borderId="7" xfId="0" applyNumberFormat="1" applyFont="1" applyFill="1" applyBorder="1"/>
    <xf numFmtId="9" fontId="16" fillId="2" borderId="0" xfId="2" applyFont="1" applyFill="1"/>
    <xf numFmtId="1" fontId="16" fillId="2" borderId="14" xfId="0" applyNumberFormat="1" applyFont="1" applyFill="1" applyBorder="1"/>
    <xf numFmtId="0" fontId="15" fillId="2" borderId="7" xfId="0" applyFont="1" applyFill="1" applyBorder="1" applyAlignment="1">
      <alignment horizontal="right" wrapText="1"/>
    </xf>
    <xf numFmtId="0" fontId="15" fillId="2" borderId="0" xfId="0" applyFont="1" applyFill="1" applyAlignment="1">
      <alignment horizontal="left"/>
    </xf>
    <xf numFmtId="0" fontId="0" fillId="2" borderId="25" xfId="0" applyFill="1" applyBorder="1"/>
    <xf numFmtId="9" fontId="37" fillId="3" borderId="20" xfId="2" applyFont="1" applyFill="1" applyBorder="1"/>
    <xf numFmtId="0" fontId="37" fillId="2" borderId="30" xfId="0" applyFont="1" applyFill="1" applyBorder="1"/>
    <xf numFmtId="0" fontId="37" fillId="2" borderId="32" xfId="0" applyFont="1" applyFill="1" applyBorder="1"/>
    <xf numFmtId="1" fontId="16" fillId="2" borderId="4" xfId="0" applyNumberFormat="1" applyFont="1" applyFill="1" applyBorder="1"/>
    <xf numFmtId="1" fontId="16" fillId="2" borderId="30" xfId="0" applyNumberFormat="1" applyFont="1" applyFill="1" applyBorder="1"/>
    <xf numFmtId="0" fontId="33" fillId="7" borderId="9" xfId="0" applyFont="1" applyFill="1" applyBorder="1"/>
    <xf numFmtId="0" fontId="34" fillId="7" borderId="9" xfId="0" applyFont="1" applyFill="1" applyBorder="1"/>
    <xf numFmtId="0" fontId="26" fillId="7" borderId="9" xfId="0" applyFont="1" applyFill="1" applyBorder="1"/>
    <xf numFmtId="0" fontId="0" fillId="7" borderId="10" xfId="0" applyFill="1" applyBorder="1"/>
    <xf numFmtId="168" fontId="42" fillId="2" borderId="0" xfId="0" applyNumberFormat="1" applyFont="1" applyFill="1"/>
    <xf numFmtId="2" fontId="16" fillId="6" borderId="0" xfId="0" applyNumberFormat="1" applyFont="1" applyFill="1" applyBorder="1"/>
    <xf numFmtId="2" fontId="16" fillId="6" borderId="7" xfId="0" applyNumberFormat="1" applyFont="1" applyFill="1" applyBorder="1"/>
    <xf numFmtId="1" fontId="16" fillId="6" borderId="2" xfId="0" applyNumberFormat="1" applyFont="1" applyFill="1" applyBorder="1"/>
    <xf numFmtId="1" fontId="16" fillId="6" borderId="0" xfId="0" applyNumberFormat="1" applyFont="1" applyFill="1" applyBorder="1"/>
    <xf numFmtId="0" fontId="42" fillId="2" borderId="4" xfId="0" applyFont="1" applyFill="1" applyBorder="1"/>
    <xf numFmtId="3" fontId="50" fillId="2" borderId="0" xfId="0" applyNumberFormat="1" applyFont="1" applyFill="1"/>
    <xf numFmtId="1" fontId="0" fillId="2" borderId="0" xfId="0" applyNumberFormat="1" applyFill="1"/>
    <xf numFmtId="0" fontId="26" fillId="2" borderId="9" xfId="0" applyFont="1" applyFill="1" applyBorder="1"/>
    <xf numFmtId="168" fontId="0" fillId="2" borderId="0" xfId="0" applyNumberFormat="1" applyFill="1"/>
    <xf numFmtId="3" fontId="51" fillId="2" borderId="0" xfId="0" applyNumberFormat="1" applyFont="1" applyFill="1"/>
    <xf numFmtId="0" fontId="16" fillId="2" borderId="0" xfId="0" applyFont="1" applyFill="1" applyBorder="1"/>
    <xf numFmtId="0" fontId="30" fillId="2" borderId="10" xfId="0" applyFont="1" applyFill="1" applyBorder="1"/>
    <xf numFmtId="3" fontId="15" fillId="2" borderId="7" xfId="0" applyNumberFormat="1" applyFont="1" applyFill="1" applyBorder="1"/>
    <xf numFmtId="3" fontId="15" fillId="2" borderId="52" xfId="0" applyNumberFormat="1" applyFont="1" applyFill="1" applyBorder="1"/>
    <xf numFmtId="0" fontId="16" fillId="2" borderId="31" xfId="0" applyFont="1" applyFill="1" applyBorder="1"/>
    <xf numFmtId="0" fontId="16" fillId="2" borderId="45" xfId="0" applyFont="1" applyFill="1" applyBorder="1"/>
    <xf numFmtId="0" fontId="16" fillId="2" borderId="0" xfId="0" applyFont="1" applyFill="1" applyBorder="1"/>
    <xf numFmtId="0" fontId="16" fillId="2" borderId="5" xfId="0" applyFont="1" applyFill="1" applyBorder="1"/>
    <xf numFmtId="0" fontId="15" fillId="8" borderId="11" xfId="0" applyFont="1" applyFill="1" applyBorder="1" applyAlignment="1">
      <alignment horizontal="center"/>
    </xf>
    <xf numFmtId="0" fontId="16" fillId="2" borderId="0" xfId="0" applyFont="1" applyFill="1" applyBorder="1"/>
    <xf numFmtId="0" fontId="0" fillId="2" borderId="7" xfId="0" applyFill="1" applyBorder="1"/>
    <xf numFmtId="1" fontId="16" fillId="2" borderId="6" xfId="0" applyNumberFormat="1" applyFont="1" applyFill="1" applyBorder="1"/>
    <xf numFmtId="0" fontId="34" fillId="2" borderId="2" xfId="0" applyFont="1" applyFill="1" applyBorder="1"/>
    <xf numFmtId="1" fontId="16" fillId="2" borderId="2" xfId="0" applyNumberFormat="1" applyFont="1" applyFill="1" applyBorder="1"/>
    <xf numFmtId="169" fontId="16" fillId="2" borderId="2" xfId="0" applyNumberFormat="1" applyFont="1" applyFill="1" applyBorder="1"/>
    <xf numFmtId="169" fontId="16" fillId="2" borderId="3" xfId="0" applyNumberFormat="1" applyFont="1" applyFill="1" applyBorder="1"/>
    <xf numFmtId="0" fontId="52" fillId="2" borderId="0" xfId="0" applyFont="1" applyFill="1" applyBorder="1"/>
    <xf numFmtId="0" fontId="53" fillId="2" borderId="0" xfId="0" applyFont="1" applyFill="1"/>
    <xf numFmtId="3" fontId="52" fillId="2" borderId="0" xfId="0" applyNumberFormat="1" applyFont="1" applyFill="1" applyBorder="1"/>
    <xf numFmtId="0" fontId="16" fillId="2" borderId="29" xfId="0" applyFont="1" applyFill="1" applyBorder="1"/>
    <xf numFmtId="0" fontId="16" fillId="2" borderId="31" xfId="0" applyFont="1" applyFill="1" applyBorder="1"/>
    <xf numFmtId="0" fontId="16" fillId="2" borderId="45" xfId="0" applyFont="1" applyFill="1" applyBorder="1"/>
    <xf numFmtId="0" fontId="16" fillId="2" borderId="28" xfId="0" applyFont="1" applyFill="1" applyBorder="1"/>
    <xf numFmtId="0" fontId="16" fillId="2" borderId="0" xfId="0" applyFont="1" applyFill="1" applyBorder="1"/>
    <xf numFmtId="0" fontId="16" fillId="2" borderId="5" xfId="0" applyFont="1" applyFill="1" applyBorder="1"/>
    <xf numFmtId="0" fontId="16" fillId="2" borderId="34" xfId="0" applyFont="1" applyFill="1" applyBorder="1"/>
    <xf numFmtId="0" fontId="16" fillId="2" borderId="25" xfId="0" applyFont="1" applyFill="1" applyBorder="1"/>
    <xf numFmtId="0" fontId="16" fillId="2" borderId="41" xfId="0" applyFont="1" applyFill="1" applyBorder="1"/>
    <xf numFmtId="0" fontId="15" fillId="2" borderId="21" xfId="0" applyFont="1" applyFill="1" applyBorder="1"/>
    <xf numFmtId="0" fontId="16" fillId="2" borderId="31" xfId="0" applyFont="1" applyFill="1" applyBorder="1"/>
    <xf numFmtId="0" fontId="16" fillId="2" borderId="28" xfId="0" applyFont="1" applyFill="1" applyBorder="1"/>
    <xf numFmtId="0" fontId="16" fillId="2" borderId="0" xfId="0" applyFont="1" applyFill="1" applyBorder="1"/>
    <xf numFmtId="0" fontId="16" fillId="2" borderId="5" xfId="0" applyFont="1" applyFill="1" applyBorder="1"/>
    <xf numFmtId="0" fontId="16" fillId="2" borderId="0" xfId="0" applyFont="1" applyFill="1" applyBorder="1"/>
    <xf numFmtId="4" fontId="16" fillId="2" borderId="0" xfId="0" applyNumberFormat="1" applyFont="1" applyFill="1" applyBorder="1"/>
    <xf numFmtId="9" fontId="16" fillId="2" borderId="14" xfId="2" applyFont="1" applyFill="1" applyBorder="1"/>
    <xf numFmtId="0" fontId="15" fillId="8" borderId="21" xfId="0" applyFont="1" applyFill="1" applyBorder="1"/>
    <xf numFmtId="0" fontId="16" fillId="8" borderId="22" xfId="0" applyFont="1" applyFill="1" applyBorder="1"/>
    <xf numFmtId="0" fontId="16" fillId="8" borderId="22" xfId="0" applyFont="1" applyFill="1" applyBorder="1" applyAlignment="1">
      <alignment horizontal="left"/>
    </xf>
    <xf numFmtId="0" fontId="16" fillId="8" borderId="23" xfId="0" applyFont="1" applyFill="1" applyBorder="1"/>
    <xf numFmtId="9" fontId="37" fillId="2" borderId="20" xfId="2" applyFont="1" applyFill="1" applyBorder="1"/>
    <xf numFmtId="9" fontId="16" fillId="2" borderId="0" xfId="2" applyFont="1" applyFill="1" applyBorder="1"/>
    <xf numFmtId="0" fontId="54" fillId="2" borderId="0" xfId="0" applyFont="1" applyFill="1"/>
    <xf numFmtId="0" fontId="16" fillId="2" borderId="0" xfId="0" applyFont="1" applyFill="1" applyBorder="1" applyAlignment="1">
      <alignment horizontal="right"/>
    </xf>
    <xf numFmtId="0" fontId="31" fillId="2" borderId="0" xfId="0" applyFont="1" applyFill="1" applyBorder="1"/>
    <xf numFmtId="172" fontId="16" fillId="2" borderId="0" xfId="0" applyNumberFormat="1" applyFont="1" applyFill="1" applyBorder="1"/>
    <xf numFmtId="170" fontId="55" fillId="2" borderId="0" xfId="0" applyNumberFormat="1" applyFont="1" applyFill="1" applyBorder="1" applyAlignment="1">
      <alignment horizontal="right"/>
    </xf>
    <xf numFmtId="171" fontId="16" fillId="2" borderId="0" xfId="3" applyNumberFormat="1" applyFont="1" applyFill="1" applyBorder="1"/>
    <xf numFmtId="0" fontId="16" fillId="2" borderId="31" xfId="0" applyFont="1" applyFill="1" applyBorder="1" applyAlignment="1">
      <alignment horizontal="right"/>
    </xf>
    <xf numFmtId="171" fontId="16" fillId="2" borderId="31" xfId="3" applyNumberFormat="1" applyFont="1" applyFill="1" applyBorder="1"/>
    <xf numFmtId="9" fontId="16" fillId="2" borderId="31" xfId="2" applyFont="1" applyFill="1" applyBorder="1"/>
    <xf numFmtId="172" fontId="16" fillId="2" borderId="31" xfId="0" applyNumberFormat="1" applyFont="1" applyFill="1" applyBorder="1"/>
    <xf numFmtId="172" fontId="15" fillId="2" borderId="0" xfId="0" applyNumberFormat="1" applyFont="1" applyFill="1" applyBorder="1"/>
    <xf numFmtId="173" fontId="16" fillId="2" borderId="0" xfId="3" applyNumberFormat="1" applyFont="1" applyFill="1" applyBorder="1"/>
    <xf numFmtId="0" fontId="30" fillId="2" borderId="47" xfId="0" applyFont="1" applyFill="1" applyBorder="1" applyAlignment="1">
      <alignment horizontal="right" vertical="center"/>
    </xf>
    <xf numFmtId="0" fontId="54" fillId="2" borderId="0" xfId="0" applyFont="1" applyFill="1" applyAlignment="1">
      <alignment horizontal="left" vertical="top" wrapText="1"/>
    </xf>
    <xf numFmtId="0" fontId="16" fillId="2" borderId="29" xfId="0" applyFont="1" applyFill="1" applyBorder="1"/>
    <xf numFmtId="0" fontId="16" fillId="2" borderId="31" xfId="0" applyFont="1" applyFill="1" applyBorder="1"/>
    <xf numFmtId="0" fontId="16" fillId="2" borderId="45" xfId="0" applyFont="1" applyFill="1" applyBorder="1"/>
    <xf numFmtId="0" fontId="15" fillId="2" borderId="21" xfId="0" applyFont="1" applyFill="1" applyBorder="1"/>
    <xf numFmtId="0" fontId="15" fillId="2" borderId="22" xfId="0" applyFont="1" applyFill="1" applyBorder="1"/>
    <xf numFmtId="0" fontId="16" fillId="2" borderId="34" xfId="0" applyFont="1" applyFill="1" applyBorder="1"/>
    <xf numFmtId="0" fontId="16" fillId="2" borderId="25" xfId="0" applyFont="1" applyFill="1" applyBorder="1"/>
    <xf numFmtId="0" fontId="16" fillId="2" borderId="41" xfId="0" applyFont="1" applyFill="1" applyBorder="1"/>
    <xf numFmtId="0" fontId="16" fillId="2" borderId="28" xfId="0" applyFont="1" applyFill="1" applyBorder="1"/>
    <xf numFmtId="0" fontId="16" fillId="2" borderId="0" xfId="0" applyFont="1" applyFill="1" applyBorder="1"/>
    <xf numFmtId="0" fontId="16" fillId="2" borderId="5" xfId="0" applyFont="1" applyFill="1" applyBorder="1"/>
    <xf numFmtId="0" fontId="18" fillId="2" borderId="29" xfId="0" applyFont="1" applyFill="1" applyBorder="1" applyAlignment="1">
      <alignment horizontal="left" indent="1"/>
    </xf>
    <xf numFmtId="0" fontId="18" fillId="2" borderId="31" xfId="0" applyFont="1" applyFill="1" applyBorder="1" applyAlignment="1">
      <alignment horizontal="left" indent="1"/>
    </xf>
    <xf numFmtId="0" fontId="18" fillId="2" borderId="45" xfId="0" applyFont="1" applyFill="1" applyBorder="1" applyAlignment="1">
      <alignment horizontal="left" indent="1"/>
    </xf>
    <xf numFmtId="0" fontId="19" fillId="0" borderId="0" xfId="0" applyFont="1" applyAlignment="1">
      <alignment vertical="top" wrapText="1"/>
    </xf>
    <xf numFmtId="0" fontId="0" fillId="0" borderId="30" xfId="0" applyBorder="1"/>
    <xf numFmtId="0" fontId="0" fillId="0" borderId="32" xfId="0" applyBorder="1"/>
    <xf numFmtId="0" fontId="19" fillId="0" borderId="29" xfId="0" applyFont="1" applyBorder="1" applyAlignment="1">
      <alignment horizontal="right"/>
    </xf>
    <xf numFmtId="0" fontId="19" fillId="0" borderId="45" xfId="0" applyFont="1" applyBorder="1" applyAlignment="1">
      <alignment horizontal="right"/>
    </xf>
    <xf numFmtId="3" fontId="0" fillId="0" borderId="1" xfId="0" applyNumberFormat="1" applyBorder="1"/>
    <xf numFmtId="3" fontId="0" fillId="0" borderId="43" xfId="0" applyNumberFormat="1" applyBorder="1"/>
    <xf numFmtId="3" fontId="0" fillId="0" borderId="4" xfId="0" applyNumberFormat="1" applyBorder="1"/>
    <xf numFmtId="3" fontId="0" fillId="0" borderId="27" xfId="0" applyNumberFormat="1" applyBorder="1"/>
    <xf numFmtId="3" fontId="0" fillId="0" borderId="6" xfId="0" applyNumberFormat="1" applyBorder="1"/>
    <xf numFmtId="3" fontId="0" fillId="0" borderId="33" xfId="0" applyNumberFormat="1" applyBorder="1"/>
    <xf numFmtId="0" fontId="0" fillId="0" borderId="44" xfId="0" applyBorder="1"/>
    <xf numFmtId="0" fontId="0" fillId="0" borderId="8" xfId="0" applyBorder="1"/>
    <xf numFmtId="0" fontId="1" fillId="0" borderId="34" xfId="0" applyFont="1" applyFill="1" applyBorder="1" applyAlignment="1">
      <alignment horizontal="right"/>
    </xf>
    <xf numFmtId="0" fontId="1" fillId="0" borderId="41" xfId="0" applyFont="1" applyFill="1" applyBorder="1" applyAlignment="1">
      <alignment horizontal="right"/>
    </xf>
    <xf numFmtId="0" fontId="0" fillId="0" borderId="42" xfId="0" applyBorder="1"/>
    <xf numFmtId="0" fontId="0" fillId="0" borderId="3" xfId="0" applyBorder="1"/>
    <xf numFmtId="0" fontId="0" fillId="0" borderId="28" xfId="0" applyBorder="1"/>
    <xf numFmtId="0" fontId="0" fillId="0" borderId="5" xfId="0" applyBorder="1"/>
  </cellXfs>
  <cellStyles count="8">
    <cellStyle name="Currency" xfId="3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  <cellStyle name="Percent" xfId="2" builtinId="5"/>
  </cellStyles>
  <dxfs count="21">
    <dxf>
      <font>
        <b/>
        <i/>
      </font>
    </dxf>
    <dxf>
      <font>
        <b/>
        <i val="0"/>
        <color theme="7"/>
      </font>
    </dxf>
    <dxf>
      <font>
        <b/>
        <i val="0"/>
        <color rgb="FFFF0000"/>
      </font>
    </dxf>
    <dxf>
      <font>
        <b/>
        <i/>
      </font>
    </dxf>
    <dxf>
      <font>
        <b/>
        <i val="0"/>
        <color theme="7"/>
      </font>
    </dxf>
    <dxf>
      <font>
        <b/>
        <i val="0"/>
        <color rgb="FFFF0000"/>
      </font>
    </dxf>
    <dxf>
      <font>
        <b/>
        <i/>
      </font>
    </dxf>
    <dxf>
      <font>
        <b/>
        <i val="0"/>
        <color theme="7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C0C0"/>
      <color rgb="FFCCFFCC"/>
      <color rgb="FFC5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16693</xdr:colOff>
      <xdr:row>4</xdr:row>
      <xdr:rowOff>16</xdr:rowOff>
    </xdr:from>
    <xdr:to>
      <xdr:col>15</xdr:col>
      <xdr:colOff>16693</xdr:colOff>
      <xdr:row>7</xdr:row>
      <xdr:rowOff>200041</xdr:rowOff>
    </xdr:to>
    <xdr:cxnSp macro="">
      <xdr:nvCxnSpPr>
        <xdr:cNvPr id="2" name="Rechte verbindingslijn 1"/>
        <xdr:cNvCxnSpPr/>
      </xdr:nvCxnSpPr>
      <xdr:spPr>
        <a:xfrm>
          <a:off x="7765561" y="621942"/>
          <a:ext cx="0" cy="1006849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333375</xdr:colOff>
      <xdr:row>3</xdr:row>
      <xdr:rowOff>47624</xdr:rowOff>
    </xdr:from>
    <xdr:to>
      <xdr:col>17</xdr:col>
      <xdr:colOff>333375</xdr:colOff>
      <xdr:row>21</xdr:row>
      <xdr:rowOff>168299</xdr:rowOff>
    </xdr:to>
    <xdr:sp macro="" textlink="">
      <xdr:nvSpPr>
        <xdr:cNvPr id="3" name="Rechthoek 2"/>
        <xdr:cNvSpPr/>
      </xdr:nvSpPr>
      <xdr:spPr>
        <a:xfrm>
          <a:off x="6429375" y="619124"/>
          <a:ext cx="3657600" cy="3740175"/>
        </a:xfrm>
        <a:prstGeom prst="rect">
          <a:avLst/>
        </a:prstGeom>
        <a:solidFill>
          <a:sysClr val="window" lastClr="FFFFFF"/>
        </a:solidFill>
        <a:ln w="19050">
          <a:solidFill>
            <a:schemeClr val="bg2">
              <a:lumMod val="75000"/>
            </a:schemeClr>
          </a:solidFill>
        </a:ln>
        <a:scene3d>
          <a:camera prst="isometricOffAxis1Top"/>
          <a:lightRig rig="threePt" dir="t"/>
        </a:scene3d>
        <a:sp3d contourW="12700">
          <a:bevelT w="0" h="114300"/>
          <a:contourClr>
            <a:schemeClr val="bg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12</xdr:col>
      <xdr:colOff>171450</xdr:colOff>
      <xdr:row>5</xdr:row>
      <xdr:rowOff>161925</xdr:rowOff>
    </xdr:from>
    <xdr:to>
      <xdr:col>16</xdr:col>
      <xdr:colOff>476250</xdr:colOff>
      <xdr:row>19</xdr:row>
      <xdr:rowOff>21750</xdr:rowOff>
    </xdr:to>
    <xdr:sp macro="" textlink="">
      <xdr:nvSpPr>
        <xdr:cNvPr id="4" name="Rechthoek 3"/>
        <xdr:cNvSpPr/>
      </xdr:nvSpPr>
      <xdr:spPr>
        <a:xfrm>
          <a:off x="6877050" y="1114425"/>
          <a:ext cx="2743200" cy="2717325"/>
        </a:xfrm>
        <a:prstGeom prst="rect">
          <a:avLst/>
        </a:prstGeom>
        <a:pattFill prst="wdUpDiag">
          <a:fgClr>
            <a:schemeClr val="accent6">
              <a:lumMod val="60000"/>
              <a:lumOff val="40000"/>
            </a:schemeClr>
          </a:fgClr>
          <a:bgClr>
            <a:srgbClr val="CCFFCC"/>
          </a:bgClr>
        </a:pattFill>
        <a:ln w="19050">
          <a:solidFill>
            <a:schemeClr val="bg1"/>
          </a:solidFill>
        </a:ln>
        <a:scene3d>
          <a:camera prst="isometricOffAxis1Top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266700</xdr:colOff>
      <xdr:row>7</xdr:row>
      <xdr:rowOff>57149</xdr:rowOff>
    </xdr:from>
    <xdr:to>
      <xdr:col>15</xdr:col>
      <xdr:colOff>419100</xdr:colOff>
      <xdr:row>14</xdr:row>
      <xdr:rowOff>100199</xdr:rowOff>
    </xdr:to>
    <xdr:sp macro="" textlink="">
      <xdr:nvSpPr>
        <xdr:cNvPr id="5" name="Rechthoek 4"/>
        <xdr:cNvSpPr/>
      </xdr:nvSpPr>
      <xdr:spPr>
        <a:xfrm>
          <a:off x="7581900" y="1581149"/>
          <a:ext cx="1371600" cy="1376550"/>
        </a:xfrm>
        <a:prstGeom prst="rect">
          <a:avLst/>
        </a:prstGeom>
        <a:solidFill>
          <a:schemeClr val="tx2">
            <a:lumMod val="75000"/>
          </a:schemeClr>
        </a:solidFill>
        <a:ln w="19050">
          <a:noFill/>
        </a:ln>
        <a:effectLst>
          <a:softEdge rad="0"/>
        </a:effectLst>
        <a:scene3d>
          <a:camera prst="isometricOffAxis1Top"/>
          <a:lightRig rig="threePt" dir="t"/>
        </a:scene3d>
        <a:sp3d>
          <a:bevelT w="0" h="254000"/>
          <a:bevelB w="0" h="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261097</xdr:colOff>
      <xdr:row>5</xdr:row>
      <xdr:rowOff>142874</xdr:rowOff>
    </xdr:from>
    <xdr:to>
      <xdr:col>15</xdr:col>
      <xdr:colOff>413497</xdr:colOff>
      <xdr:row>11</xdr:row>
      <xdr:rowOff>185924</xdr:rowOff>
    </xdr:to>
    <xdr:sp macro="" textlink="">
      <xdr:nvSpPr>
        <xdr:cNvPr id="6" name="Rechthoek 5"/>
        <xdr:cNvSpPr/>
      </xdr:nvSpPr>
      <xdr:spPr>
        <a:xfrm>
          <a:off x="7338172" y="1323974"/>
          <a:ext cx="1371600" cy="1243200"/>
        </a:xfrm>
        <a:prstGeom prst="rect">
          <a:avLst/>
        </a:prstGeom>
        <a:solidFill>
          <a:schemeClr val="accent1">
            <a:lumMod val="75000"/>
          </a:schemeClr>
        </a:solidFill>
        <a:ln w="19050">
          <a:noFill/>
        </a:ln>
        <a:scene3d>
          <a:camera prst="isometricOffAxis1Top"/>
          <a:lightRig rig="threePt" dir="t"/>
        </a:scene3d>
        <a:sp3d>
          <a:bevelT w="0" h="254000"/>
          <a:bevelB w="0" h="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261097</xdr:colOff>
      <xdr:row>3</xdr:row>
      <xdr:rowOff>9524</xdr:rowOff>
    </xdr:from>
    <xdr:to>
      <xdr:col>15</xdr:col>
      <xdr:colOff>413497</xdr:colOff>
      <xdr:row>9</xdr:row>
      <xdr:rowOff>81149</xdr:rowOff>
    </xdr:to>
    <xdr:sp macro="" textlink="">
      <xdr:nvSpPr>
        <xdr:cNvPr id="7" name="Rechthoek 6"/>
        <xdr:cNvSpPr/>
      </xdr:nvSpPr>
      <xdr:spPr>
        <a:xfrm>
          <a:off x="6776197" y="438149"/>
          <a:ext cx="1371600" cy="1462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noFill/>
        </a:ln>
        <a:scene3d>
          <a:camera prst="isometricOffAxis1Top"/>
          <a:lightRig rig="threePt" dir="t"/>
        </a:scene3d>
        <a:sp3d>
          <a:bevelT w="0" h="254000"/>
          <a:bevelB w="0" h="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16</xdr:col>
      <xdr:colOff>56719</xdr:colOff>
      <xdr:row>5</xdr:row>
      <xdr:rowOff>196060</xdr:rowOff>
    </xdr:from>
    <xdr:to>
      <xdr:col>16</xdr:col>
      <xdr:colOff>57465</xdr:colOff>
      <xdr:row>12</xdr:row>
      <xdr:rowOff>120599</xdr:rowOff>
    </xdr:to>
    <xdr:cxnSp macro="">
      <xdr:nvCxnSpPr>
        <xdr:cNvPr id="8" name="Rechte verbindingslijn 7"/>
        <xdr:cNvCxnSpPr/>
      </xdr:nvCxnSpPr>
      <xdr:spPr>
        <a:xfrm>
          <a:off x="8416307" y="1019692"/>
          <a:ext cx="746" cy="1538186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40600</xdr:colOff>
      <xdr:row>6</xdr:row>
      <xdr:rowOff>0</xdr:rowOff>
    </xdr:from>
    <xdr:to>
      <xdr:col>14</xdr:col>
      <xdr:colOff>41346</xdr:colOff>
      <xdr:row>13</xdr:row>
      <xdr:rowOff>108360</xdr:rowOff>
    </xdr:to>
    <xdr:cxnSp macro="">
      <xdr:nvCxnSpPr>
        <xdr:cNvPr id="9" name="Rechte verbindingslijn 8"/>
        <xdr:cNvCxnSpPr/>
      </xdr:nvCxnSpPr>
      <xdr:spPr>
        <a:xfrm>
          <a:off x="7178747" y="1209891"/>
          <a:ext cx="746" cy="1537454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9567</xdr:colOff>
      <xdr:row>4</xdr:row>
      <xdr:rowOff>180626</xdr:rowOff>
    </xdr:from>
    <xdr:to>
      <xdr:col>13</xdr:col>
      <xdr:colOff>10313</xdr:colOff>
      <xdr:row>11</xdr:row>
      <xdr:rowOff>104432</xdr:rowOff>
    </xdr:to>
    <xdr:cxnSp macro="">
      <xdr:nvCxnSpPr>
        <xdr:cNvPr id="10" name="Rechte verbindingslijn 9"/>
        <xdr:cNvCxnSpPr/>
      </xdr:nvCxnSpPr>
      <xdr:spPr>
        <a:xfrm>
          <a:off x="6536993" y="802552"/>
          <a:ext cx="746" cy="1537454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12</xdr:row>
      <xdr:rowOff>104778</xdr:rowOff>
    </xdr:from>
    <xdr:to>
      <xdr:col>11</xdr:col>
      <xdr:colOff>123825</xdr:colOff>
      <xdr:row>23</xdr:row>
      <xdr:rowOff>9525</xdr:rowOff>
    </xdr:to>
    <xdr:cxnSp macro="">
      <xdr:nvCxnSpPr>
        <xdr:cNvPr id="11" name="Rechte verbindingslijn met pijl 10"/>
        <xdr:cNvCxnSpPr>
          <a:stCxn id="19" idx="0"/>
        </xdr:cNvCxnSpPr>
      </xdr:nvCxnSpPr>
      <xdr:spPr>
        <a:xfrm flipV="1">
          <a:off x="6200775" y="2581278"/>
          <a:ext cx="19050" cy="2000247"/>
        </a:xfrm>
        <a:prstGeom prst="straightConnector1">
          <a:avLst/>
        </a:prstGeom>
        <a:ln w="19050">
          <a:solidFill>
            <a:sysClr val="windowText" lastClr="000000"/>
          </a:solidFill>
          <a:prstDash val="sysDash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12</xdr:row>
      <xdr:rowOff>34017</xdr:rowOff>
    </xdr:from>
    <xdr:to>
      <xdr:col>12</xdr:col>
      <xdr:colOff>115660</xdr:colOff>
      <xdr:row>26</xdr:row>
      <xdr:rowOff>76200</xdr:rowOff>
    </xdr:to>
    <xdr:cxnSp macro="">
      <xdr:nvCxnSpPr>
        <xdr:cNvPr id="12" name="Rechte verbindingslijn met pijl 11"/>
        <xdr:cNvCxnSpPr>
          <a:stCxn id="18" idx="0"/>
        </xdr:cNvCxnSpPr>
      </xdr:nvCxnSpPr>
      <xdr:spPr>
        <a:xfrm flipV="1">
          <a:off x="6819900" y="2510517"/>
          <a:ext cx="1360" cy="2709183"/>
        </a:xfrm>
        <a:prstGeom prst="straightConnector1">
          <a:avLst/>
        </a:prstGeom>
        <a:ln w="19050">
          <a:solidFill>
            <a:sysClr val="windowText" lastClr="000000"/>
          </a:solidFill>
          <a:prstDash val="sysDash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128588</xdr:colOff>
      <xdr:row>11</xdr:row>
      <xdr:rowOff>170089</xdr:rowOff>
    </xdr:from>
    <xdr:to>
      <xdr:col>13</xdr:col>
      <xdr:colOff>136072</xdr:colOff>
      <xdr:row>20</xdr:row>
      <xdr:rowOff>47625</xdr:rowOff>
    </xdr:to>
    <xdr:cxnSp macro="">
      <xdr:nvCxnSpPr>
        <xdr:cNvPr id="13" name="Rechte verbindingslijn met pijl 12"/>
        <xdr:cNvCxnSpPr>
          <a:stCxn id="17" idx="0"/>
        </xdr:cNvCxnSpPr>
      </xdr:nvCxnSpPr>
      <xdr:spPr>
        <a:xfrm flipV="1">
          <a:off x="7443788" y="2456089"/>
          <a:ext cx="7484" cy="1592036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314325</xdr:colOff>
      <xdr:row>11</xdr:row>
      <xdr:rowOff>133350</xdr:rowOff>
    </xdr:from>
    <xdr:to>
      <xdr:col>16</xdr:col>
      <xdr:colOff>66675</xdr:colOff>
      <xdr:row>12</xdr:row>
      <xdr:rowOff>142875</xdr:rowOff>
    </xdr:to>
    <xdr:sp macro="" textlink="">
      <xdr:nvSpPr>
        <xdr:cNvPr id="14" name="Tekstvak 13"/>
        <xdr:cNvSpPr txBox="1"/>
      </xdr:nvSpPr>
      <xdr:spPr>
        <a:xfrm>
          <a:off x="8001000" y="2514600"/>
          <a:ext cx="971550" cy="209550"/>
        </a:xfrm>
        <a:prstGeom prst="rect">
          <a:avLst/>
        </a:prstGeom>
        <a:noFill/>
        <a:ln w="9525" cmpd="sng">
          <a:noFill/>
        </a:ln>
        <a:scene3d>
          <a:camera prst="isometricOffAxis1Right"/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/>
            <a:t>Ground floor</a:t>
          </a:r>
        </a:p>
      </xdr:txBody>
    </xdr:sp>
    <xdr:clientData/>
  </xdr:twoCellAnchor>
  <xdr:twoCellAnchor>
    <xdr:from>
      <xdr:col>14</xdr:col>
      <xdr:colOff>295275</xdr:colOff>
      <xdr:row>9</xdr:row>
      <xdr:rowOff>85725</xdr:rowOff>
    </xdr:from>
    <xdr:to>
      <xdr:col>16</xdr:col>
      <xdr:colOff>47625</xdr:colOff>
      <xdr:row>10</xdr:row>
      <xdr:rowOff>95250</xdr:rowOff>
    </xdr:to>
    <xdr:sp macro="" textlink="">
      <xdr:nvSpPr>
        <xdr:cNvPr id="15" name="Tekstvak 14"/>
        <xdr:cNvSpPr txBox="1"/>
      </xdr:nvSpPr>
      <xdr:spPr>
        <a:xfrm>
          <a:off x="7981950" y="2066925"/>
          <a:ext cx="971550" cy="209550"/>
        </a:xfrm>
        <a:prstGeom prst="rect">
          <a:avLst/>
        </a:prstGeom>
        <a:noFill/>
        <a:ln w="9525" cmpd="sng">
          <a:noFill/>
        </a:ln>
        <a:scene3d>
          <a:camera prst="isometricOffAxis1Right"/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/>
            <a:t>2</a:t>
          </a:r>
          <a:r>
            <a:rPr lang="nl-NL" sz="1200" baseline="30000"/>
            <a:t>nd</a:t>
          </a:r>
          <a:r>
            <a:rPr lang="nl-NL" sz="1200"/>
            <a:t> floor</a:t>
          </a:r>
        </a:p>
      </xdr:txBody>
    </xdr:sp>
    <xdr:clientData/>
  </xdr:twoCellAnchor>
  <xdr:twoCellAnchor>
    <xdr:from>
      <xdr:col>14</xdr:col>
      <xdr:colOff>285750</xdr:colOff>
      <xdr:row>7</xdr:row>
      <xdr:rowOff>28575</xdr:rowOff>
    </xdr:from>
    <xdr:to>
      <xdr:col>16</xdr:col>
      <xdr:colOff>38100</xdr:colOff>
      <xdr:row>8</xdr:row>
      <xdr:rowOff>66675</xdr:rowOff>
    </xdr:to>
    <xdr:sp macro="" textlink="">
      <xdr:nvSpPr>
        <xdr:cNvPr id="16" name="Tekstvak 15"/>
        <xdr:cNvSpPr txBox="1"/>
      </xdr:nvSpPr>
      <xdr:spPr>
        <a:xfrm>
          <a:off x="7972425" y="1609725"/>
          <a:ext cx="971550" cy="238125"/>
        </a:xfrm>
        <a:prstGeom prst="rect">
          <a:avLst/>
        </a:prstGeom>
        <a:noFill/>
        <a:ln w="9525" cmpd="sng">
          <a:noFill/>
        </a:ln>
        <a:scene3d>
          <a:camera prst="isometricOffAxis1Right"/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/>
            <a:t>3</a:t>
          </a:r>
          <a:r>
            <a:rPr lang="nl-NL" sz="1200" baseline="30000"/>
            <a:t>rd</a:t>
          </a:r>
          <a:r>
            <a:rPr lang="nl-NL" sz="1200"/>
            <a:t> floor</a:t>
          </a:r>
        </a:p>
      </xdr:txBody>
    </xdr:sp>
    <xdr:clientData/>
  </xdr:twoCellAnchor>
  <xdr:twoCellAnchor>
    <xdr:from>
      <xdr:col>12</xdr:col>
      <xdr:colOff>200025</xdr:colOff>
      <xdr:row>20</xdr:row>
      <xdr:rowOff>47625</xdr:rowOff>
    </xdr:from>
    <xdr:to>
      <xdr:col>14</xdr:col>
      <xdr:colOff>57150</xdr:colOff>
      <xdr:row>21</xdr:row>
      <xdr:rowOff>123825</xdr:rowOff>
    </xdr:to>
    <xdr:sp macro="" textlink="">
      <xdr:nvSpPr>
        <xdr:cNvPr id="17" name="Tekstvak 16"/>
        <xdr:cNvSpPr txBox="1"/>
      </xdr:nvSpPr>
      <xdr:spPr>
        <a:xfrm>
          <a:off x="6905625" y="4048125"/>
          <a:ext cx="10763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/>
            <a:t>Built-up Area</a:t>
          </a:r>
        </a:p>
      </xdr:txBody>
    </xdr:sp>
    <xdr:clientData/>
  </xdr:twoCellAnchor>
  <xdr:twoCellAnchor>
    <xdr:from>
      <xdr:col>11</xdr:col>
      <xdr:colOff>95250</xdr:colOff>
      <xdr:row>26</xdr:row>
      <xdr:rowOff>76200</xdr:rowOff>
    </xdr:from>
    <xdr:to>
      <xdr:col>13</xdr:col>
      <xdr:colOff>133350</xdr:colOff>
      <xdr:row>27</xdr:row>
      <xdr:rowOff>123825</xdr:rowOff>
    </xdr:to>
    <xdr:sp macro="" textlink="">
      <xdr:nvSpPr>
        <xdr:cNvPr id="18" name="Tekstvak 17"/>
        <xdr:cNvSpPr txBox="1"/>
      </xdr:nvSpPr>
      <xdr:spPr>
        <a:xfrm>
          <a:off x="6191250" y="5219700"/>
          <a:ext cx="12573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NL" sz="1100"/>
            <a:t>Issuable Ground</a:t>
          </a:r>
        </a:p>
      </xdr:txBody>
    </xdr:sp>
    <xdr:clientData/>
  </xdr:twoCellAnchor>
  <xdr:twoCellAnchor>
    <xdr:from>
      <xdr:col>10</xdr:col>
      <xdr:colOff>304800</xdr:colOff>
      <xdr:row>23</xdr:row>
      <xdr:rowOff>9525</xdr:rowOff>
    </xdr:from>
    <xdr:to>
      <xdr:col>11</xdr:col>
      <xdr:colOff>514350</xdr:colOff>
      <xdr:row>24</xdr:row>
      <xdr:rowOff>57150</xdr:rowOff>
    </xdr:to>
    <xdr:sp macro="" textlink="">
      <xdr:nvSpPr>
        <xdr:cNvPr id="19" name="Tekstvak 18"/>
        <xdr:cNvSpPr txBox="1"/>
      </xdr:nvSpPr>
      <xdr:spPr>
        <a:xfrm>
          <a:off x="5791200" y="4581525"/>
          <a:ext cx="8191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NL" sz="1100"/>
            <a:t>Platform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133350</xdr:colOff>
      <xdr:row>42</xdr:row>
      <xdr:rowOff>200025</xdr:rowOff>
    </xdr:from>
    <xdr:ext cx="3206563" cy="2600325"/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8553450"/>
          <a:ext cx="3206563" cy="260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wwmaterialen.nl/soortelijk-gewicht-materialen/" TargetMode="External"/><Relationship Id="rId2" Type="http://schemas.openxmlformats.org/officeDocument/2006/relationships/hyperlink" Target="http://www.alibaba.com/product-gs/753404876/2013_440KW_Diesel_Generators_Prices_C440GF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u.uea.ac.uk/~timm/grid/CRU_CL_2_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gov/consumption/commercial/data/2003/index.cfm?view=consumption" TargetMode="External"/><Relationship Id="rId4" Type="http://schemas.openxmlformats.org/officeDocument/2006/relationships/hyperlink" Target="http://maps.nrel.gov/SWERA" TargetMode="External"/><Relationship Id="rId1" Type="http://schemas.openxmlformats.org/officeDocument/2006/relationships/hyperlink" Target="http://www.eia.gov/tools/faqs/faq.cfm?id=96&amp;t=3" TargetMode="External"/><Relationship Id="rId2" Type="http://schemas.openxmlformats.org/officeDocument/2006/relationships/hyperlink" Target="http://www.milieubarometer.nl/kantoo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dwi.nl/uploadedFiles/Infodwi/05_-_Voorwaarden_normen_en_uitwerking/WB%202.1%20B%20okt%202011.pdf" TargetMode="External"/><Relationship Id="rId2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aterforeveryone.nl/waterpurifier/waterpurifier-2500uv" TargetMode="External"/><Relationship Id="rId2" Type="http://schemas.openxmlformats.org/officeDocument/2006/relationships/hyperlink" Target="http://waterforeveryone.nl/waterpurifier/waterpurifier-500uv-ac" TargetMode="External"/><Relationship Id="rId3" Type="http://schemas.openxmlformats.org/officeDocument/2006/relationships/hyperlink" Target="http://www.pwntechnologies.nl/resources/factsheets/pdf/Perfector-E%20-%20Emergency%20water%20un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/>
  <dimension ref="A1:W349"/>
  <sheetViews>
    <sheetView tabSelected="1" workbookViewId="0">
      <selection activeCell="F15" sqref="F15"/>
    </sheetView>
  </sheetViews>
  <sheetFormatPr baseColWidth="10" defaultColWidth="8.83203125" defaultRowHeight="14" x14ac:dyDescent="0"/>
  <cols>
    <col min="1" max="1" width="8.83203125" style="80"/>
    <col min="2" max="2" width="2.5" style="81" customWidth="1"/>
    <col min="3" max="3" width="37.1640625" style="3" customWidth="1"/>
    <col min="4" max="4" width="12" style="81" customWidth="1"/>
    <col min="5" max="5" width="13.1640625" style="81" customWidth="1"/>
    <col min="6" max="6" width="14.33203125" style="81" bestFit="1" customWidth="1"/>
    <col min="7" max="7" width="7" style="81" customWidth="1"/>
    <col min="8" max="8" width="12.5" style="81" customWidth="1"/>
    <col min="9" max="9" width="3.5" style="81" customWidth="1"/>
    <col min="10" max="10" width="4.1640625" style="81" customWidth="1"/>
    <col min="11" max="11" width="7.5" style="81" customWidth="1"/>
    <col min="12" max="12" width="10.5" style="81" customWidth="1"/>
    <col min="13" max="13" width="4.83203125" style="81" customWidth="1"/>
    <col min="14" max="14" width="7.5" style="81" customWidth="1"/>
    <col min="15" max="15" width="8.1640625" style="81" customWidth="1"/>
    <col min="16" max="16" width="4.6640625" style="81" customWidth="1"/>
    <col min="17" max="17" width="6.33203125" style="81" customWidth="1"/>
    <col min="18" max="23" width="8.83203125" style="81"/>
    <col min="24" max="16384" width="8.83203125" style="3"/>
  </cols>
  <sheetData>
    <row r="1" spans="1:14" s="81" customFormat="1"/>
    <row r="2" spans="1:14" s="81" customFormat="1" ht="18">
      <c r="C2" s="49" t="s">
        <v>266</v>
      </c>
    </row>
    <row r="3" spans="1:14" s="81" customFormat="1" ht="6.75" customHeight="1"/>
    <row r="4" spans="1:14">
      <c r="A4" s="81"/>
      <c r="C4" s="101" t="s">
        <v>349</v>
      </c>
      <c r="D4" s="241"/>
      <c r="E4" s="241"/>
      <c r="F4" s="241" t="s">
        <v>235</v>
      </c>
      <c r="G4" s="135"/>
      <c r="K4" s="278" t="s">
        <v>372</v>
      </c>
      <c r="L4" s="152"/>
      <c r="M4" s="152"/>
      <c r="N4" s="285">
        <v>1</v>
      </c>
    </row>
    <row r="5" spans="1:14">
      <c r="A5" s="81"/>
      <c r="C5" s="4" t="s">
        <v>340</v>
      </c>
      <c r="D5" s="11"/>
      <c r="E5" s="11"/>
      <c r="F5" s="92">
        <f>'Real Estate'!H40</f>
        <v>225</v>
      </c>
      <c r="G5" s="136"/>
      <c r="K5" s="187" t="s">
        <v>377</v>
      </c>
    </row>
    <row r="6" spans="1:14">
      <c r="A6" s="81"/>
      <c r="C6" s="4" t="s">
        <v>422</v>
      </c>
      <c r="D6" s="92"/>
      <c r="E6" s="320" t="s">
        <v>398</v>
      </c>
      <c r="F6" s="92">
        <f>'Real Estate'!H18*Total_overview!F64+Total_overview!F63*'Real Estate'!H61</f>
        <v>39576</v>
      </c>
      <c r="G6" s="12"/>
    </row>
    <row r="7" spans="1:14">
      <c r="A7" s="81"/>
      <c r="C7" s="4" t="s">
        <v>302</v>
      </c>
      <c r="D7" s="318">
        <v>0.75</v>
      </c>
      <c r="E7" s="320" t="s">
        <v>398</v>
      </c>
      <c r="F7" s="92">
        <f>D7*(F6-F9)</f>
        <v>28182</v>
      </c>
      <c r="G7" s="12"/>
    </row>
    <row r="8" spans="1:14">
      <c r="A8" s="81"/>
      <c r="C8" s="4" t="s">
        <v>303</v>
      </c>
      <c r="D8" s="318">
        <v>0.25</v>
      </c>
      <c r="E8" s="320" t="s">
        <v>398</v>
      </c>
      <c r="F8" s="92">
        <f>(F6-F9)*D8</f>
        <v>9394</v>
      </c>
      <c r="G8" s="12"/>
    </row>
    <row r="9" spans="1:14">
      <c r="A9" s="81"/>
      <c r="C9" s="4" t="s">
        <v>170</v>
      </c>
      <c r="D9" s="92"/>
      <c r="E9" s="320" t="s">
        <v>398</v>
      </c>
      <c r="F9" s="92">
        <f>'Real Estate'!H30</f>
        <v>2000</v>
      </c>
      <c r="G9" s="12"/>
    </row>
    <row r="10" spans="1:14">
      <c r="A10" s="81"/>
      <c r="C10" s="4" t="s">
        <v>394</v>
      </c>
      <c r="D10" s="234" t="s">
        <v>397</v>
      </c>
      <c r="E10" s="320" t="s">
        <v>398</v>
      </c>
      <c r="F10" s="92">
        <f>(F7+F8)-(F5*'Real Estate'!H25)</f>
        <v>15076</v>
      </c>
      <c r="G10" s="309"/>
    </row>
    <row r="11" spans="1:14">
      <c r="A11" s="81"/>
      <c r="C11" s="13" t="s">
        <v>205</v>
      </c>
      <c r="D11" s="137"/>
      <c r="E11" s="14"/>
      <c r="F11" s="137">
        <v>11</v>
      </c>
      <c r="G11" s="15"/>
    </row>
    <row r="12" spans="1:14">
      <c r="A12" s="81"/>
      <c r="C12" s="11"/>
      <c r="D12" s="92"/>
      <c r="E12" s="11"/>
      <c r="F12" s="92"/>
      <c r="G12" s="11"/>
    </row>
    <row r="13" spans="1:14">
      <c r="A13" s="81"/>
      <c r="C13" s="60" t="s">
        <v>264</v>
      </c>
      <c r="D13" s="138" t="s">
        <v>234</v>
      </c>
      <c r="E13" s="60"/>
      <c r="F13" s="138" t="s">
        <v>235</v>
      </c>
      <c r="G13" s="60"/>
    </row>
    <row r="14" spans="1:14">
      <c r="A14" s="81"/>
      <c r="C14" s="57" t="s">
        <v>229</v>
      </c>
      <c r="D14" s="67">
        <f>F65</f>
        <v>3242495.0019999989</v>
      </c>
      <c r="E14" s="57" t="s">
        <v>373</v>
      </c>
      <c r="F14" s="67">
        <f>H65</f>
        <v>38909940.023999989</v>
      </c>
      <c r="G14" s="67"/>
    </row>
    <row r="15" spans="1:14">
      <c r="A15" s="81"/>
      <c r="C15" s="57" t="s">
        <v>12</v>
      </c>
      <c r="D15" s="67">
        <f>D68</f>
        <v>37500</v>
      </c>
      <c r="E15" s="57" t="s">
        <v>376</v>
      </c>
      <c r="F15" s="67">
        <f>H68</f>
        <v>3300000</v>
      </c>
      <c r="G15" s="276"/>
    </row>
    <row r="16" spans="1:14">
      <c r="A16" s="81"/>
      <c r="C16" s="11" t="s">
        <v>237</v>
      </c>
      <c r="D16" s="67">
        <f>D69</f>
        <v>70000</v>
      </c>
      <c r="E16" s="57" t="s">
        <v>373</v>
      </c>
      <c r="F16" s="67">
        <f>D16*F11</f>
        <v>770000</v>
      </c>
      <c r="G16" s="67"/>
    </row>
    <row r="17" spans="1:7">
      <c r="A17" s="81"/>
      <c r="C17" s="11" t="s">
        <v>350</v>
      </c>
      <c r="D17" s="67">
        <f>H70</f>
        <v>330000</v>
      </c>
      <c r="E17" s="57" t="s">
        <v>373</v>
      </c>
      <c r="F17" s="67">
        <f>D17*F11</f>
        <v>3630000</v>
      </c>
      <c r="G17" s="67"/>
    </row>
    <row r="18" spans="1:7">
      <c r="A18" s="81"/>
      <c r="C18" s="57" t="s">
        <v>0</v>
      </c>
      <c r="D18" s="67">
        <f>1000*N4</f>
        <v>1000</v>
      </c>
      <c r="E18" s="57" t="s">
        <v>375</v>
      </c>
      <c r="F18" s="67">
        <f>F6*D18</f>
        <v>39576000</v>
      </c>
      <c r="G18" s="67"/>
    </row>
    <row r="19" spans="1:7" ht="15" thickBot="1">
      <c r="A19" s="81"/>
      <c r="C19" s="54" t="s">
        <v>338</v>
      </c>
      <c r="D19" s="54"/>
      <c r="E19" s="54"/>
      <c r="F19" s="98">
        <f>F38</f>
        <v>2433192.5801551593</v>
      </c>
      <c r="G19" s="54"/>
    </row>
    <row r="20" spans="1:7">
      <c r="A20" s="81"/>
      <c r="C20" s="53" t="s">
        <v>322</v>
      </c>
      <c r="D20" s="53"/>
      <c r="E20" s="53"/>
      <c r="F20" s="88">
        <f>SUM(F14:F19)</f>
        <v>88619132.604155153</v>
      </c>
      <c r="G20" s="53"/>
    </row>
    <row r="21" spans="1:7" ht="6" customHeight="1">
      <c r="A21" s="81"/>
      <c r="C21" s="53"/>
      <c r="D21" s="53"/>
      <c r="E21" s="53"/>
      <c r="F21" s="88"/>
      <c r="G21" s="53"/>
    </row>
    <row r="22" spans="1:7">
      <c r="A22" s="81"/>
      <c r="C22" s="11" t="s">
        <v>371</v>
      </c>
      <c r="D22" s="89">
        <v>0.25</v>
      </c>
      <c r="E22" s="11"/>
      <c r="F22" s="92">
        <f>(F20*D22)+F20</f>
        <v>110773915.75519395</v>
      </c>
      <c r="G22" s="11"/>
    </row>
    <row r="23" spans="1:7">
      <c r="A23" s="81"/>
      <c r="C23" s="11" t="s">
        <v>256</v>
      </c>
      <c r="D23" s="90">
        <v>0.12</v>
      </c>
      <c r="E23" s="11"/>
      <c r="F23" s="92">
        <f>F22+(D23*F22)</f>
        <v>124066785.64581722</v>
      </c>
      <c r="G23" s="11"/>
    </row>
    <row r="24" spans="1:7">
      <c r="A24" s="81"/>
      <c r="C24" s="81"/>
      <c r="E24" s="11"/>
      <c r="F24" s="11"/>
      <c r="G24" s="11"/>
    </row>
    <row r="25" spans="1:7">
      <c r="A25" s="81"/>
      <c r="C25" s="60" t="s">
        <v>341</v>
      </c>
      <c r="D25" s="138"/>
      <c r="E25" s="138"/>
      <c r="F25" s="138"/>
      <c r="G25" s="60"/>
    </row>
    <row r="26" spans="1:7">
      <c r="A26" s="81"/>
      <c r="C26" s="57" t="s">
        <v>339</v>
      </c>
      <c r="F26" s="92">
        <f>F23/F11</f>
        <v>11278798.695074292</v>
      </c>
      <c r="G26" s="11"/>
    </row>
    <row r="27" spans="1:7">
      <c r="A27" s="81"/>
      <c r="C27" s="321" t="s">
        <v>418</v>
      </c>
      <c r="D27" s="154"/>
      <c r="E27" s="321" t="s">
        <v>409</v>
      </c>
      <c r="F27" s="67">
        <f>F23/F6</f>
        <v>3134.8995766580056</v>
      </c>
      <c r="G27" s="11"/>
    </row>
    <row r="28" spans="1:7">
      <c r="A28" s="81"/>
      <c r="C28" s="321" t="s">
        <v>418</v>
      </c>
      <c r="D28" s="154"/>
      <c r="E28" s="321" t="s">
        <v>410</v>
      </c>
      <c r="F28" s="67">
        <f>F27/10.764</f>
        <v>291.23927690988535</v>
      </c>
      <c r="G28" s="308"/>
    </row>
    <row r="29" spans="1:7">
      <c r="A29" s="81"/>
      <c r="C29" s="321" t="s">
        <v>419</v>
      </c>
      <c r="D29" s="154"/>
      <c r="E29" s="321" t="s">
        <v>410</v>
      </c>
      <c r="F29" s="67">
        <f>F28-((F19/(F6-F10))/10.764)</f>
        <v>282.01278277541155</v>
      </c>
      <c r="G29" s="308"/>
    </row>
    <row r="30" spans="1:7">
      <c r="A30" s="81"/>
      <c r="C30" s="321" t="s">
        <v>420</v>
      </c>
      <c r="D30" s="154"/>
      <c r="E30" s="321" t="s">
        <v>409</v>
      </c>
      <c r="F30" s="67">
        <f>F23/(F6*'Real Estate'!H19)</f>
        <v>4019.102021356417</v>
      </c>
      <c r="G30" s="11"/>
    </row>
    <row r="31" spans="1:7">
      <c r="A31" s="81"/>
      <c r="C31" s="321" t="s">
        <v>420</v>
      </c>
      <c r="D31" s="154"/>
      <c r="E31" s="321" t="s">
        <v>410</v>
      </c>
      <c r="F31" s="67">
        <f>F30/10.764</f>
        <v>373.38368834600681</v>
      </c>
      <c r="G31" s="308"/>
    </row>
    <row r="32" spans="1:7">
      <c r="A32" s="81"/>
      <c r="C32" s="321" t="s">
        <v>421</v>
      </c>
      <c r="D32" s="11"/>
      <c r="E32" s="321" t="s">
        <v>410</v>
      </c>
      <c r="F32" s="61">
        <f>F31-((F19/(F6-F10))/10.764)</f>
        <v>364.15719421153301</v>
      </c>
      <c r="G32" s="11"/>
    </row>
    <row r="33" spans="1:9">
      <c r="A33" s="81"/>
      <c r="C33" s="321"/>
      <c r="D33" s="308"/>
      <c r="E33" s="308"/>
      <c r="F33" s="61"/>
      <c r="G33" s="308"/>
    </row>
    <row r="34" spans="1:9">
      <c r="A34" s="81"/>
      <c r="C34" s="60" t="s">
        <v>1</v>
      </c>
      <c r="D34" s="138"/>
      <c r="E34" s="138"/>
      <c r="F34" s="138" t="s">
        <v>51</v>
      </c>
      <c r="G34" s="60"/>
    </row>
    <row r="35" spans="1:9">
      <c r="A35" s="81"/>
      <c r="C35" s="11" t="s">
        <v>253</v>
      </c>
      <c r="D35" s="92"/>
      <c r="E35" s="92" t="s">
        <v>373</v>
      </c>
      <c r="F35" s="92">
        <f>H90</f>
        <v>2017942.5801551596</v>
      </c>
      <c r="G35" s="11"/>
    </row>
    <row r="36" spans="1:9">
      <c r="A36" s="81"/>
      <c r="C36" s="293" t="s">
        <v>254</v>
      </c>
      <c r="D36" s="294"/>
      <c r="E36" s="295" t="s">
        <v>373</v>
      </c>
      <c r="F36" s="295">
        <f>H96</f>
        <v>1499054.8916666666</v>
      </c>
      <c r="G36" s="11"/>
    </row>
    <row r="37" spans="1:9">
      <c r="A37" s="81"/>
      <c r="C37" s="14" t="s">
        <v>329</v>
      </c>
      <c r="D37" s="287"/>
      <c r="E37" s="137" t="s">
        <v>373</v>
      </c>
      <c r="F37" s="137">
        <f>Systems!D22*'Real Estate'!H45</f>
        <v>415250</v>
      </c>
      <c r="G37" s="11"/>
    </row>
    <row r="38" spans="1:9">
      <c r="A38" s="81"/>
      <c r="C38" s="11" t="s">
        <v>3</v>
      </c>
      <c r="E38" s="92" t="s">
        <v>373</v>
      </c>
      <c r="F38" s="92">
        <f>F35+F37</f>
        <v>2433192.5801551593</v>
      </c>
      <c r="G38" s="11"/>
    </row>
    <row r="39" spans="1:9">
      <c r="A39" s="81"/>
      <c r="C39" s="11"/>
      <c r="D39" s="11"/>
      <c r="E39" s="11"/>
      <c r="F39" s="11"/>
      <c r="G39" s="11"/>
    </row>
    <row r="40" spans="1:9">
      <c r="A40" s="81"/>
      <c r="C40" s="310" t="s">
        <v>416</v>
      </c>
      <c r="D40" s="11"/>
      <c r="E40" s="11"/>
      <c r="F40" s="11"/>
      <c r="G40" s="11"/>
    </row>
    <row r="41" spans="1:9">
      <c r="A41" s="81"/>
      <c r="C41" s="310" t="s">
        <v>417</v>
      </c>
      <c r="D41" s="11"/>
      <c r="E41" s="11"/>
      <c r="F41" s="11"/>
      <c r="G41" s="11"/>
    </row>
    <row r="42" spans="1:9">
      <c r="A42" s="81"/>
      <c r="C42" s="11"/>
      <c r="D42" s="11"/>
      <c r="E42" s="11"/>
      <c r="F42" s="11"/>
      <c r="G42" s="11"/>
    </row>
    <row r="43" spans="1:9" s="264" customFormat="1" ht="18">
      <c r="A43" s="265"/>
      <c r="B43" s="94"/>
      <c r="C43" s="262" t="s">
        <v>277</v>
      </c>
      <c r="D43" s="263"/>
      <c r="E43" s="263"/>
      <c r="F43" s="263"/>
      <c r="G43" s="263"/>
    </row>
    <row r="44" spans="1:9">
      <c r="A44" s="81"/>
      <c r="C44" s="81"/>
    </row>
    <row r="45" spans="1:9">
      <c r="A45" s="81"/>
    </row>
    <row r="46" spans="1:9" ht="18">
      <c r="A46" s="81"/>
      <c r="C46" s="49" t="s">
        <v>267</v>
      </c>
      <c r="D46" s="66"/>
      <c r="E46" s="49"/>
      <c r="F46" s="49"/>
      <c r="G46" s="49"/>
      <c r="H46" s="65"/>
      <c r="I46" s="49"/>
    </row>
    <row r="47" spans="1:9">
      <c r="A47" s="81"/>
      <c r="C47" s="101" t="s">
        <v>228</v>
      </c>
      <c r="D47" s="124"/>
      <c r="E47" s="102"/>
      <c r="F47" s="102"/>
      <c r="G47" s="102"/>
      <c r="H47" s="104"/>
      <c r="I47" s="105"/>
    </row>
    <row r="48" spans="1:9">
      <c r="A48" s="81"/>
      <c r="C48" s="4" t="s">
        <v>227</v>
      </c>
      <c r="D48" s="11">
        <v>100</v>
      </c>
      <c r="E48" s="11" t="s">
        <v>226</v>
      </c>
      <c r="F48" s="99">
        <f>375*N4</f>
        <v>375</v>
      </c>
      <c r="G48" s="122"/>
      <c r="H48" s="92">
        <f>D48*F48</f>
        <v>37500</v>
      </c>
      <c r="I48" s="12"/>
    </row>
    <row r="49" spans="1:13">
      <c r="A49" s="81"/>
      <c r="C49" s="4" t="s">
        <v>225</v>
      </c>
      <c r="D49" s="61">
        <f>(D100)^2</f>
        <v>2500</v>
      </c>
      <c r="E49" s="11" t="s">
        <v>220</v>
      </c>
      <c r="F49" s="99">
        <f>0.75*N4</f>
        <v>0.75</v>
      </c>
      <c r="G49" s="122"/>
      <c r="H49" s="92">
        <f>D49*F49</f>
        <v>1875</v>
      </c>
      <c r="I49" s="12"/>
    </row>
    <row r="50" spans="1:13">
      <c r="A50" s="81"/>
      <c r="C50" s="4" t="s">
        <v>224</v>
      </c>
      <c r="D50" s="81">
        <f>D100*D100*'Real Estate'!G10</f>
        <v>250</v>
      </c>
      <c r="E50" s="11" t="s">
        <v>220</v>
      </c>
      <c r="F50" s="99">
        <f>30*N4</f>
        <v>30</v>
      </c>
      <c r="G50" s="122"/>
      <c r="H50" s="92">
        <f>D50*F50</f>
        <v>7500</v>
      </c>
      <c r="I50" s="12"/>
      <c r="L50" s="3"/>
    </row>
    <row r="51" spans="1:13">
      <c r="A51" s="81"/>
      <c r="C51" s="4" t="s">
        <v>261</v>
      </c>
      <c r="D51" s="61">
        <f>'Real Estate'!H16*'Real Estate'!H19</f>
        <v>780</v>
      </c>
      <c r="E51" s="11" t="s">
        <v>220</v>
      </c>
      <c r="F51" s="99">
        <f>35*N4</f>
        <v>35</v>
      </c>
      <c r="G51" s="122"/>
      <c r="H51" s="92">
        <f>F51*D51</f>
        <v>27300</v>
      </c>
      <c r="I51" s="12"/>
    </row>
    <row r="52" spans="1:13" ht="15" thickBot="1">
      <c r="A52" s="81"/>
      <c r="C52" s="82"/>
      <c r="D52" s="63"/>
      <c r="E52" s="54"/>
      <c r="F52" s="62"/>
      <c r="G52" s="62"/>
      <c r="H52" s="55"/>
      <c r="I52" s="72"/>
    </row>
    <row r="53" spans="1:13">
      <c r="A53" s="81"/>
      <c r="C53" s="109" t="s">
        <v>223</v>
      </c>
      <c r="D53" s="117"/>
      <c r="E53" s="14"/>
      <c r="F53" s="123"/>
      <c r="G53" s="123"/>
      <c r="H53" s="279">
        <f>SUM(H48:H52)</f>
        <v>74175</v>
      </c>
      <c r="I53" s="119"/>
    </row>
    <row r="54" spans="1:13">
      <c r="A54" s="81"/>
      <c r="C54" s="57"/>
      <c r="D54" s="59"/>
      <c r="E54" s="57"/>
      <c r="F54" s="57"/>
      <c r="G54" s="57"/>
      <c r="H54" s="58"/>
      <c r="I54" s="57"/>
    </row>
    <row r="55" spans="1:13">
      <c r="A55" s="81"/>
      <c r="C55" s="101" t="s">
        <v>222</v>
      </c>
      <c r="D55" s="102"/>
      <c r="E55" s="102"/>
      <c r="F55" s="102"/>
      <c r="G55" s="102"/>
      <c r="H55" s="104"/>
      <c r="I55" s="105"/>
    </row>
    <row r="56" spans="1:13">
      <c r="A56" s="81"/>
      <c r="C56" s="4" t="s">
        <v>221</v>
      </c>
      <c r="D56" s="61">
        <f>D103*D106*D100</f>
        <v>735</v>
      </c>
      <c r="E56" s="283" t="s">
        <v>219</v>
      </c>
      <c r="F56" s="92">
        <f>50*N4</f>
        <v>50</v>
      </c>
      <c r="G56" s="50"/>
      <c r="H56" s="92">
        <f>F56*D56</f>
        <v>36750</v>
      </c>
      <c r="I56" s="12"/>
    </row>
    <row r="57" spans="1:13">
      <c r="A57" s="81"/>
      <c r="C57" s="4" t="s">
        <v>260</v>
      </c>
      <c r="D57" s="61">
        <f>D102*D100*D105*2</f>
        <v>1210</v>
      </c>
      <c r="E57" s="11" t="s">
        <v>219</v>
      </c>
      <c r="F57" s="92">
        <f>1400*N4</f>
        <v>1400</v>
      </c>
      <c r="G57" s="50"/>
      <c r="H57" s="92">
        <f>D57*F57</f>
        <v>1694000</v>
      </c>
      <c r="I57" s="12"/>
    </row>
    <row r="58" spans="1:13">
      <c r="A58" s="81"/>
      <c r="C58" s="4" t="s">
        <v>384</v>
      </c>
      <c r="D58" s="61">
        <f>D101*D100*(D107-D103)*2+((D107-D103)*D105*D101*2)</f>
        <v>348.74</v>
      </c>
      <c r="E58" s="11" t="s">
        <v>219</v>
      </c>
      <c r="F58" s="92">
        <f>F57</f>
        <v>1400</v>
      </c>
      <c r="G58" s="50"/>
      <c r="H58" s="92">
        <f>D58*F58</f>
        <v>488236</v>
      </c>
      <c r="I58" s="12"/>
    </row>
    <row r="59" spans="1:13" ht="15" thickBot="1">
      <c r="A59" s="81"/>
      <c r="C59" s="82" t="s">
        <v>385</v>
      </c>
      <c r="D59" s="63">
        <f>(D104*D106*D108*2)+(D105*D108*D104*8)-(D108*D104*D104*8)</f>
        <v>364.392</v>
      </c>
      <c r="E59" s="281" t="s">
        <v>219</v>
      </c>
      <c r="F59" s="98">
        <f>F57</f>
        <v>1400</v>
      </c>
      <c r="G59" s="55"/>
      <c r="H59" s="98">
        <f>D59*F59</f>
        <v>510148.8</v>
      </c>
      <c r="I59" s="282"/>
    </row>
    <row r="60" spans="1:13">
      <c r="A60" s="81"/>
      <c r="C60" s="108" t="s">
        <v>218</v>
      </c>
      <c r="D60" s="11"/>
      <c r="E60" s="52"/>
      <c r="F60" s="51"/>
      <c r="G60" s="51"/>
      <c r="H60" s="88">
        <f>SUM(H56:H59)</f>
        <v>2729134.8</v>
      </c>
      <c r="I60" s="120"/>
    </row>
    <row r="61" spans="1:13">
      <c r="A61" s="81"/>
      <c r="C61" s="109" t="s">
        <v>217</v>
      </c>
      <c r="D61" s="14"/>
      <c r="E61" s="121"/>
      <c r="F61" s="111"/>
      <c r="G61" s="111"/>
      <c r="H61" s="279">
        <f>H53+H60</f>
        <v>2803309.8</v>
      </c>
      <c r="I61" s="119"/>
    </row>
    <row r="62" spans="1:13">
      <c r="A62" s="81"/>
      <c r="C62" s="53"/>
      <c r="D62" s="286"/>
      <c r="E62" s="52"/>
      <c r="F62" s="51"/>
      <c r="G62" s="51"/>
      <c r="H62" s="88"/>
      <c r="I62" s="50"/>
      <c r="L62" s="57"/>
    </row>
    <row r="63" spans="1:13">
      <c r="A63" s="81"/>
      <c r="C63" s="113" t="s">
        <v>386</v>
      </c>
      <c r="D63" s="114">
        <f>'Real Estate'!H51*(H61/'Real Estate'!H9)</f>
        <v>4821692.8559999987</v>
      </c>
      <c r="E63" s="289"/>
      <c r="F63" s="290">
        <v>4</v>
      </c>
      <c r="G63" s="291"/>
      <c r="H63" s="114">
        <f>D63*F63</f>
        <v>19286771.423999995</v>
      </c>
      <c r="I63" s="292"/>
      <c r="M63" s="57"/>
    </row>
    <row r="64" spans="1:13">
      <c r="A64" s="81"/>
      <c r="C64" s="13" t="s">
        <v>387</v>
      </c>
      <c r="D64" s="137">
        <f>H61</f>
        <v>2803309.8</v>
      </c>
      <c r="E64" s="14"/>
      <c r="F64" s="14">
        <v>7</v>
      </c>
      <c r="G64" s="14"/>
      <c r="H64" s="137">
        <f>D64*F64</f>
        <v>19623168.599999998</v>
      </c>
      <c r="I64" s="119"/>
    </row>
    <row r="65" spans="1:23">
      <c r="A65" s="81"/>
      <c r="C65" s="109"/>
      <c r="D65" s="14"/>
      <c r="E65" s="121"/>
      <c r="F65" s="279">
        <f>H65/(8+4)</f>
        <v>3242495.0019999989</v>
      </c>
      <c r="G65" s="111"/>
      <c r="H65" s="279">
        <f>SUM(H63:H64)</f>
        <v>38909940.023999989</v>
      </c>
      <c r="I65" s="119"/>
    </row>
    <row r="66" spans="1:23">
      <c r="A66" s="81"/>
      <c r="C66" s="53"/>
      <c r="D66" s="286"/>
      <c r="E66" s="52"/>
      <c r="F66" s="51"/>
      <c r="G66" s="51"/>
      <c r="H66" s="92"/>
      <c r="I66" s="50"/>
    </row>
    <row r="67" spans="1:23" ht="18">
      <c r="A67" s="81"/>
      <c r="C67" s="49" t="s">
        <v>268</v>
      </c>
      <c r="D67" s="49"/>
      <c r="E67" s="49"/>
      <c r="F67" s="49"/>
      <c r="G67" s="49"/>
      <c r="H67" s="49"/>
    </row>
    <row r="68" spans="1:23">
      <c r="A68" s="81"/>
      <c r="C68" s="113" t="s">
        <v>238</v>
      </c>
      <c r="D68" s="114">
        <f>37500*N4</f>
        <v>37500</v>
      </c>
      <c r="E68" s="114" t="s">
        <v>239</v>
      </c>
      <c r="F68" s="114">
        <v>8</v>
      </c>
      <c r="G68" s="114"/>
      <c r="H68" s="114">
        <f>D68*F68*F11</f>
        <v>3300000</v>
      </c>
      <c r="I68" s="115"/>
    </row>
    <row r="69" spans="1:23">
      <c r="A69" s="81"/>
      <c r="C69" s="4" t="s">
        <v>236</v>
      </c>
      <c r="D69" s="92">
        <f>70000*N4</f>
        <v>70000</v>
      </c>
      <c r="E69" s="92"/>
      <c r="F69" s="92"/>
      <c r="G69" s="92"/>
      <c r="H69" s="92">
        <f>D69*'Real Estate'!H45</f>
        <v>770000</v>
      </c>
      <c r="I69" s="106"/>
    </row>
    <row r="70" spans="1:23" ht="15" thickBot="1">
      <c r="A70" s="81"/>
      <c r="C70" s="82" t="s">
        <v>346</v>
      </c>
      <c r="D70" s="63">
        <f>2000*N4</f>
        <v>2000</v>
      </c>
      <c r="E70" s="54" t="s">
        <v>374</v>
      </c>
      <c r="F70" s="56">
        <v>3</v>
      </c>
      <c r="G70" s="56">
        <v>5</v>
      </c>
      <c r="H70" s="98">
        <f>(D70*F70*G70)*'Real Estate'!H45</f>
        <v>330000</v>
      </c>
      <c r="I70" s="116"/>
    </row>
    <row r="71" spans="1:23">
      <c r="A71" s="81"/>
      <c r="C71" s="109" t="s">
        <v>271</v>
      </c>
      <c r="D71" s="117"/>
      <c r="E71" s="14"/>
      <c r="F71" s="118"/>
      <c r="G71" s="118"/>
      <c r="H71" s="279">
        <f>SUM(H68:H70)</f>
        <v>4400000</v>
      </c>
      <c r="I71" s="119"/>
    </row>
    <row r="72" spans="1:23">
      <c r="A72" s="81"/>
      <c r="C72" s="53"/>
      <c r="D72" s="67"/>
      <c r="E72" s="67"/>
      <c r="F72" s="67"/>
      <c r="G72" s="67"/>
      <c r="H72" s="67"/>
    </row>
    <row r="73" spans="1:23" ht="18">
      <c r="A73" s="81"/>
      <c r="C73" s="49" t="s">
        <v>424</v>
      </c>
      <c r="D73" s="49"/>
      <c r="E73" s="49"/>
      <c r="F73" s="49"/>
      <c r="G73" s="49"/>
      <c r="H73" s="49"/>
    </row>
    <row r="74" spans="1:23">
      <c r="A74" s="81"/>
      <c r="C74" s="101" t="s">
        <v>269</v>
      </c>
      <c r="D74" s="102"/>
      <c r="E74" s="102"/>
      <c r="F74" s="103" t="s">
        <v>258</v>
      </c>
      <c r="G74" s="103"/>
      <c r="H74" s="104"/>
      <c r="I74" s="105"/>
    </row>
    <row r="75" spans="1:23">
      <c r="A75" s="81"/>
      <c r="C75" s="4" t="s">
        <v>423</v>
      </c>
      <c r="D75" s="311">
        <f>G120</f>
        <v>0.7118719598618114</v>
      </c>
      <c r="E75" s="11" t="s">
        <v>395</v>
      </c>
      <c r="F75" s="92">
        <f>F82-F76</f>
        <v>996942.5</v>
      </c>
      <c r="G75" s="11" t="s">
        <v>252</v>
      </c>
      <c r="H75" s="213">
        <f>D75*F75*N4</f>
        <v>709695.4113445339</v>
      </c>
      <c r="I75" s="106"/>
    </row>
    <row r="76" spans="1:23">
      <c r="A76" s="81"/>
      <c r="C76" s="271"/>
      <c r="D76" s="11">
        <v>0.33</v>
      </c>
      <c r="E76" s="11" t="s">
        <v>255</v>
      </c>
      <c r="F76" s="92">
        <v>64000</v>
      </c>
      <c r="G76" s="11" t="s">
        <v>252</v>
      </c>
      <c r="H76" s="92">
        <f>F76*D76*D77*N4</f>
        <v>17991.111111111109</v>
      </c>
      <c r="I76" s="106"/>
      <c r="L76" s="92"/>
    </row>
    <row r="77" spans="1:23" ht="15" thickBot="1">
      <c r="A77" s="81"/>
      <c r="C77" s="4" t="s">
        <v>412</v>
      </c>
      <c r="D77" s="99">
        <f>1.15/1.35</f>
        <v>0.85185185185185175</v>
      </c>
      <c r="E77" s="277" t="s">
        <v>347</v>
      </c>
      <c r="F77" s="92"/>
      <c r="G77" s="277"/>
      <c r="H77" s="126"/>
      <c r="I77" s="106"/>
      <c r="L77" s="311"/>
    </row>
    <row r="78" spans="1:23">
      <c r="A78" s="81"/>
      <c r="C78" s="130" t="s">
        <v>272</v>
      </c>
      <c r="D78" s="131"/>
      <c r="E78" s="131"/>
      <c r="F78" s="131"/>
      <c r="G78" s="131"/>
      <c r="H78" s="280">
        <f>SUM(H75:H77)</f>
        <v>727686.52245564503</v>
      </c>
      <c r="I78" s="132"/>
    </row>
    <row r="79" spans="1:23" s="2" customFormat="1">
      <c r="A79" s="81"/>
      <c r="B79" s="81"/>
      <c r="C79" s="108"/>
      <c r="D79" s="53"/>
      <c r="E79" s="53"/>
      <c r="F79" s="53"/>
      <c r="G79" s="53"/>
      <c r="H79" s="51"/>
      <c r="I79" s="10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</row>
    <row r="80" spans="1:23">
      <c r="A80" s="81"/>
      <c r="C80" s="113" t="s">
        <v>259</v>
      </c>
      <c r="D80" s="125"/>
      <c r="E80" s="125"/>
      <c r="F80" s="162"/>
      <c r="G80" s="125"/>
      <c r="H80" s="114"/>
      <c r="I80" s="115"/>
    </row>
    <row r="81" spans="1:23">
      <c r="A81" s="81"/>
      <c r="C81" s="4"/>
      <c r="D81" s="92">
        <f>32000*N4</f>
        <v>32000</v>
      </c>
      <c r="E81" s="11"/>
      <c r="F81" s="92">
        <f>8</f>
        <v>8</v>
      </c>
      <c r="G81" s="11" t="s">
        <v>396</v>
      </c>
      <c r="H81" s="92">
        <f>D81*F81</f>
        <v>256000</v>
      </c>
      <c r="I81" s="106"/>
    </row>
    <row r="82" spans="1:23">
      <c r="A82" s="81"/>
      <c r="C82" s="4" t="s">
        <v>414</v>
      </c>
      <c r="D82" s="11">
        <v>0.33</v>
      </c>
      <c r="E82" s="11" t="s">
        <v>255</v>
      </c>
      <c r="F82" s="92">
        <f>'Energy Demand'!J28</f>
        <v>1060942.5</v>
      </c>
      <c r="G82" s="11" t="s">
        <v>252</v>
      </c>
      <c r="H82" s="92">
        <f>D83*F82*D82*N4</f>
        <v>298242.72499999998</v>
      </c>
      <c r="I82" s="106"/>
    </row>
    <row r="83" spans="1:23" ht="15" thickBot="1">
      <c r="A83" s="81"/>
      <c r="C83" s="4" t="s">
        <v>415</v>
      </c>
      <c r="D83" s="56">
        <f>D77</f>
        <v>0.85185185185185175</v>
      </c>
      <c r="E83" s="54" t="s">
        <v>347</v>
      </c>
      <c r="F83" s="98"/>
      <c r="G83" s="54"/>
      <c r="H83" s="98"/>
      <c r="I83" s="107"/>
    </row>
    <row r="84" spans="1:23">
      <c r="A84" s="81"/>
      <c r="C84" s="130" t="s">
        <v>273</v>
      </c>
      <c r="D84" s="110"/>
      <c r="E84" s="110"/>
      <c r="F84" s="110"/>
      <c r="G84" s="110"/>
      <c r="H84" s="279">
        <f>SUM(H80:H83)</f>
        <v>554242.72499999998</v>
      </c>
      <c r="I84" s="112"/>
    </row>
    <row r="85" spans="1:23">
      <c r="A85" s="81"/>
      <c r="C85" s="67"/>
      <c r="D85" s="67"/>
      <c r="E85" s="67"/>
      <c r="F85" s="67"/>
      <c r="G85" s="67"/>
      <c r="H85" s="67"/>
    </row>
    <row r="86" spans="1:23">
      <c r="A86" s="81"/>
      <c r="C86" s="101" t="s">
        <v>274</v>
      </c>
      <c r="D86" s="102"/>
      <c r="E86" s="102"/>
      <c r="F86" s="103" t="s">
        <v>258</v>
      </c>
      <c r="G86" s="103"/>
      <c r="H86" s="104"/>
      <c r="I86" s="105"/>
    </row>
    <row r="87" spans="1:23">
      <c r="A87" s="81"/>
      <c r="C87" s="4" t="s">
        <v>405</v>
      </c>
      <c r="D87" s="311">
        <f>D75</f>
        <v>0.7118719598618114</v>
      </c>
      <c r="E87" s="11" t="s">
        <v>395</v>
      </c>
      <c r="F87" s="92">
        <f>F94-F88</f>
        <v>2764614.5</v>
      </c>
      <c r="G87" s="11" t="s">
        <v>252</v>
      </c>
      <c r="H87" s="213">
        <f>D87*F87*N4</f>
        <v>1968051.5423773818</v>
      </c>
      <c r="I87" s="106"/>
    </row>
    <row r="88" spans="1:23">
      <c r="A88" s="81"/>
      <c r="C88" s="271"/>
      <c r="D88" s="11">
        <v>0.33</v>
      </c>
      <c r="E88" s="11" t="s">
        <v>255</v>
      </c>
      <c r="F88" s="92">
        <v>177478</v>
      </c>
      <c r="G88" s="11" t="s">
        <v>252</v>
      </c>
      <c r="H88" s="92">
        <f>F88*D88*D89*N4</f>
        <v>49891.037777777776</v>
      </c>
      <c r="I88" s="106"/>
    </row>
    <row r="89" spans="1:23" ht="15" thickBot="1">
      <c r="A89" s="81"/>
      <c r="C89" s="4" t="s">
        <v>412</v>
      </c>
      <c r="D89" s="56">
        <f>D77</f>
        <v>0.85185185185185175</v>
      </c>
      <c r="E89" s="54" t="s">
        <v>347</v>
      </c>
      <c r="F89" s="98"/>
      <c r="G89" s="54"/>
      <c r="H89" s="100"/>
      <c r="I89" s="107"/>
      <c r="M89" s="171"/>
      <c r="N89" s="171"/>
    </row>
    <row r="90" spans="1:23">
      <c r="A90" s="81"/>
      <c r="C90" s="130" t="s">
        <v>275</v>
      </c>
      <c r="D90" s="110"/>
      <c r="E90" s="110"/>
      <c r="F90" s="110"/>
      <c r="G90" s="110"/>
      <c r="H90" s="279">
        <f>SUM(H87:H89)</f>
        <v>2017942.5801551596</v>
      </c>
      <c r="I90" s="133"/>
      <c r="M90" s="171"/>
    </row>
    <row r="91" spans="1:23" s="2" customFormat="1">
      <c r="A91" s="81"/>
      <c r="B91" s="81"/>
      <c r="C91" s="108"/>
      <c r="D91" s="53"/>
      <c r="E91" s="53"/>
      <c r="F91" s="53"/>
      <c r="G91" s="53"/>
      <c r="H91" s="51"/>
      <c r="I91" s="10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</row>
    <row r="92" spans="1:23">
      <c r="A92" s="81"/>
      <c r="C92" s="113" t="s">
        <v>259</v>
      </c>
      <c r="D92" s="125"/>
      <c r="E92" s="125"/>
      <c r="F92" s="162"/>
      <c r="G92" s="125"/>
      <c r="H92" s="114"/>
      <c r="I92" s="115"/>
    </row>
    <row r="93" spans="1:23">
      <c r="A93" s="81"/>
      <c r="C93" s="4"/>
      <c r="D93" s="92">
        <f>32000*N4</f>
        <v>32000</v>
      </c>
      <c r="E93" s="11"/>
      <c r="F93" s="92">
        <f>21</f>
        <v>21</v>
      </c>
      <c r="G93" s="11" t="s">
        <v>396</v>
      </c>
      <c r="H93" s="92">
        <f>D93*F93</f>
        <v>672000</v>
      </c>
      <c r="I93" s="106"/>
    </row>
    <row r="94" spans="1:23">
      <c r="A94" s="81"/>
      <c r="C94" s="4" t="s">
        <v>414</v>
      </c>
      <c r="D94" s="11">
        <v>0.33</v>
      </c>
      <c r="E94" s="11" t="s">
        <v>255</v>
      </c>
      <c r="F94" s="92">
        <f>'Energy Demand'!K28</f>
        <v>2942092.5</v>
      </c>
      <c r="G94" s="11" t="s">
        <v>252</v>
      </c>
      <c r="H94" s="92">
        <f>D95*F94*D94*N4</f>
        <v>827054.8916666666</v>
      </c>
      <c r="I94" s="106"/>
    </row>
    <row r="95" spans="1:23" ht="15" thickBot="1">
      <c r="A95" s="81"/>
      <c r="C95" s="4" t="s">
        <v>415</v>
      </c>
      <c r="D95" s="56">
        <f>D77</f>
        <v>0.85185185185185175</v>
      </c>
      <c r="E95" s="54" t="s">
        <v>347</v>
      </c>
      <c r="F95" s="98"/>
      <c r="G95" s="54"/>
      <c r="H95" s="98"/>
      <c r="I95" s="107"/>
    </row>
    <row r="96" spans="1:23">
      <c r="A96" s="81"/>
      <c r="C96" s="130" t="s">
        <v>276</v>
      </c>
      <c r="D96" s="131"/>
      <c r="E96" s="131"/>
      <c r="F96" s="131"/>
      <c r="G96" s="131"/>
      <c r="H96" s="280">
        <f>SUM(H92:H95)</f>
        <v>1499054.8916666666</v>
      </c>
      <c r="I96" s="134"/>
    </row>
    <row r="97" spans="1:9">
      <c r="A97" s="81"/>
      <c r="C97" s="53"/>
      <c r="D97" s="53"/>
      <c r="E97" s="53"/>
      <c r="F97" s="53"/>
      <c r="G97" s="53"/>
      <c r="H97" s="51"/>
      <c r="I97" s="53"/>
    </row>
    <row r="98" spans="1:9">
      <c r="A98" s="81"/>
      <c r="C98" s="238"/>
      <c r="D98" s="238"/>
      <c r="E98" s="238"/>
      <c r="F98" s="238"/>
      <c r="G98" s="238"/>
      <c r="H98" s="51"/>
      <c r="I98" s="53"/>
    </row>
    <row r="99" spans="1:9">
      <c r="A99" s="81"/>
      <c r="C99" s="140" t="s">
        <v>379</v>
      </c>
      <c r="D99" s="59"/>
      <c r="E99" s="57"/>
      <c r="F99" s="57"/>
      <c r="G99" s="187"/>
    </row>
    <row r="100" spans="1:9">
      <c r="A100" s="81"/>
      <c r="C100" s="113" t="s">
        <v>378</v>
      </c>
      <c r="D100" s="240">
        <f>'Real Estate'!D6</f>
        <v>50</v>
      </c>
      <c r="E100" s="160" t="s">
        <v>142</v>
      </c>
      <c r="F100" s="57"/>
    </row>
    <row r="101" spans="1:9">
      <c r="A101" s="81"/>
      <c r="C101" s="113" t="s">
        <v>380</v>
      </c>
      <c r="D101" s="240">
        <v>0.5</v>
      </c>
      <c r="E101" s="160" t="s">
        <v>142</v>
      </c>
      <c r="F101" s="57"/>
    </row>
    <row r="102" spans="1:9">
      <c r="A102" s="81"/>
      <c r="C102" s="4" t="s">
        <v>215</v>
      </c>
      <c r="D102" s="99">
        <v>0.5</v>
      </c>
      <c r="E102" s="12" t="s">
        <v>142</v>
      </c>
      <c r="F102" s="57"/>
    </row>
    <row r="103" spans="1:9">
      <c r="A103" s="81"/>
      <c r="C103" s="13" t="s">
        <v>214</v>
      </c>
      <c r="D103" s="118">
        <v>0.3</v>
      </c>
      <c r="E103" s="15" t="s">
        <v>142</v>
      </c>
      <c r="F103" s="57"/>
    </row>
    <row r="104" spans="1:9">
      <c r="A104" s="81"/>
      <c r="C104" s="113" t="s">
        <v>216</v>
      </c>
      <c r="D104" s="240">
        <v>0.3</v>
      </c>
      <c r="E104" s="160" t="s">
        <v>142</v>
      </c>
      <c r="F104" s="57"/>
      <c r="G104" s="187"/>
    </row>
    <row r="105" spans="1:9">
      <c r="A105" s="81"/>
      <c r="C105" s="4" t="s">
        <v>382</v>
      </c>
      <c r="D105" s="99">
        <f>(D100/2)-D104-D101</f>
        <v>24.2</v>
      </c>
      <c r="E105" s="284" t="s">
        <v>142</v>
      </c>
      <c r="F105" s="57"/>
      <c r="G105" s="3"/>
      <c r="H105" s="3"/>
    </row>
    <row r="106" spans="1:9">
      <c r="A106" s="81"/>
      <c r="C106" s="13" t="s">
        <v>383</v>
      </c>
      <c r="D106" s="118">
        <f>D100-D101-D101</f>
        <v>49</v>
      </c>
      <c r="E106" s="15" t="s">
        <v>142</v>
      </c>
      <c r="F106" s="57"/>
    </row>
    <row r="107" spans="1:9">
      <c r="A107" s="81"/>
      <c r="C107" s="113" t="s">
        <v>213</v>
      </c>
      <c r="D107" s="240">
        <v>5</v>
      </c>
      <c r="E107" s="160" t="s">
        <v>142</v>
      </c>
      <c r="F107" s="57"/>
    </row>
    <row r="108" spans="1:9">
      <c r="A108" s="81"/>
      <c r="C108" s="13" t="s">
        <v>381</v>
      </c>
      <c r="D108" s="118">
        <f>D107-D102-D103</f>
        <v>4.2</v>
      </c>
      <c r="E108" s="15" t="s">
        <v>142</v>
      </c>
      <c r="F108" s="57"/>
    </row>
    <row r="109" spans="1:9">
      <c r="A109" s="81"/>
      <c r="C109" s="81"/>
      <c r="F109" s="57"/>
      <c r="G109" s="187"/>
    </row>
    <row r="110" spans="1:9">
      <c r="A110" s="81"/>
      <c r="C110" s="113" t="s">
        <v>232</v>
      </c>
      <c r="D110" s="269">
        <f>D56+D57+D58+D59</f>
        <v>2658.1319999999996</v>
      </c>
      <c r="E110" s="160" t="s">
        <v>319</v>
      </c>
      <c r="F110" s="57"/>
      <c r="G110" s="187" t="s">
        <v>257</v>
      </c>
    </row>
    <row r="111" spans="1:9">
      <c r="A111" s="81"/>
      <c r="C111" s="4" t="s">
        <v>320</v>
      </c>
      <c r="D111" s="270">
        <f>D110*2.45</f>
        <v>6512.4233999999997</v>
      </c>
      <c r="E111" s="12" t="s">
        <v>233</v>
      </c>
      <c r="F111" s="57"/>
      <c r="G111" s="187" t="s">
        <v>331</v>
      </c>
    </row>
    <row r="112" spans="1:9">
      <c r="A112" s="81"/>
      <c r="C112" s="4" t="s">
        <v>332</v>
      </c>
      <c r="D112" s="270">
        <f>721*2.45</f>
        <v>1766.45</v>
      </c>
      <c r="E112" s="12" t="s">
        <v>233</v>
      </c>
      <c r="F112" s="57"/>
      <c r="G112" s="239" t="s">
        <v>240</v>
      </c>
    </row>
    <row r="113" spans="1:17">
      <c r="A113" s="81"/>
      <c r="C113" s="4"/>
      <c r="D113" s="11"/>
      <c r="E113" s="12"/>
      <c r="F113" s="57"/>
      <c r="G113" s="187" t="s">
        <v>241</v>
      </c>
    </row>
    <row r="114" spans="1:17">
      <c r="A114" s="81"/>
      <c r="C114" s="4" t="s">
        <v>333</v>
      </c>
      <c r="D114" s="267">
        <f>D112/(D100*D100)</f>
        <v>0.70657999999999999</v>
      </c>
      <c r="E114" s="106"/>
      <c r="F114" s="57"/>
      <c r="G114" s="187" t="s">
        <v>318</v>
      </c>
    </row>
    <row r="115" spans="1:17">
      <c r="A115" s="81"/>
      <c r="C115" s="4" t="s">
        <v>334</v>
      </c>
      <c r="D115" s="267">
        <f>D111/(D100*D100)</f>
        <v>2.6049693599999997</v>
      </c>
      <c r="E115" s="12"/>
      <c r="F115" s="57"/>
      <c r="G115" s="187" t="s">
        <v>242</v>
      </c>
    </row>
    <row r="116" spans="1:17">
      <c r="A116" s="81"/>
      <c r="C116" s="4" t="s">
        <v>335</v>
      </c>
      <c r="D116" s="268">
        <f>SUM(D114:D115)</f>
        <v>3.3115493599999999</v>
      </c>
      <c r="E116" s="106"/>
      <c r="F116" s="57"/>
      <c r="G116" s="187" t="s">
        <v>270</v>
      </c>
    </row>
    <row r="117" spans="1:17">
      <c r="A117" s="81"/>
      <c r="C117" s="13" t="s">
        <v>321</v>
      </c>
      <c r="D117" s="268">
        <f>D107-D116</f>
        <v>1.6884506400000001</v>
      </c>
      <c r="E117" s="15"/>
      <c r="F117" s="57"/>
      <c r="G117" s="187" t="s">
        <v>348</v>
      </c>
      <c r="K117" s="187" t="s">
        <v>263</v>
      </c>
    </row>
    <row r="118" spans="1:17">
      <c r="A118" s="81"/>
      <c r="C118" s="81"/>
      <c r="F118" s="57"/>
      <c r="G118" s="187" t="s">
        <v>262</v>
      </c>
      <c r="I118" s="187" t="s">
        <v>251</v>
      </c>
      <c r="K118" s="266">
        <v>2906.6917808219177</v>
      </c>
      <c r="L118" s="266">
        <v>8060.5273972602736</v>
      </c>
      <c r="M118" s="266" t="s">
        <v>252</v>
      </c>
      <c r="N118" s="266">
        <v>32000</v>
      </c>
      <c r="O118" s="187" t="s">
        <v>336</v>
      </c>
      <c r="P118" s="266">
        <f>K118/400</f>
        <v>7.2667294520547943</v>
      </c>
      <c r="Q118" s="266">
        <f>L118/400</f>
        <v>20.151318493150683</v>
      </c>
    </row>
    <row r="119" spans="1:17">
      <c r="A119" s="81"/>
      <c r="C119" s="81"/>
      <c r="F119" s="57"/>
      <c r="G119" s="187" t="s">
        <v>411</v>
      </c>
    </row>
    <row r="120" spans="1:17">
      <c r="A120" s="81"/>
      <c r="C120" s="81"/>
      <c r="F120" s="57"/>
      <c r="G120" s="319">
        <f>((208000+92000)*(1/1.35))/312166</f>
        <v>0.7118719598618114</v>
      </c>
    </row>
    <row r="121" spans="1:17">
      <c r="A121" s="81"/>
      <c r="C121" s="81"/>
      <c r="F121" s="57"/>
      <c r="G121" s="332" t="s">
        <v>425</v>
      </c>
      <c r="H121" s="332"/>
      <c r="I121" s="332"/>
      <c r="J121" s="332"/>
      <c r="K121" s="332"/>
      <c r="L121" s="332"/>
      <c r="M121" s="332"/>
      <c r="N121" s="332"/>
    </row>
    <row r="122" spans="1:17">
      <c r="A122" s="81"/>
      <c r="C122" s="283"/>
      <c r="D122" s="99"/>
      <c r="E122" s="283"/>
      <c r="F122" s="57"/>
      <c r="G122" s="332"/>
      <c r="H122" s="332"/>
      <c r="I122" s="332"/>
      <c r="J122" s="332"/>
      <c r="K122" s="332"/>
      <c r="L122" s="332"/>
      <c r="M122" s="332"/>
      <c r="N122" s="332"/>
    </row>
    <row r="123" spans="1:17">
      <c r="A123" s="81"/>
      <c r="C123" s="283"/>
      <c r="D123" s="99"/>
      <c r="E123" s="283"/>
      <c r="F123" s="57"/>
      <c r="G123" s="332"/>
      <c r="H123" s="332"/>
      <c r="I123" s="332"/>
      <c r="J123" s="332"/>
      <c r="K123" s="332"/>
      <c r="L123" s="332"/>
      <c r="M123" s="332"/>
      <c r="N123" s="332"/>
    </row>
    <row r="124" spans="1:17">
      <c r="A124" s="81"/>
      <c r="C124" s="283"/>
      <c r="D124" s="61"/>
      <c r="E124" s="283"/>
      <c r="F124" s="57"/>
      <c r="G124" s="332"/>
      <c r="H124" s="332"/>
      <c r="I124" s="332"/>
      <c r="J124" s="332"/>
      <c r="K124" s="332"/>
      <c r="L124" s="332"/>
      <c r="M124" s="332"/>
      <c r="N124" s="332"/>
    </row>
    <row r="125" spans="1:17">
      <c r="A125" s="81"/>
      <c r="C125" s="57"/>
      <c r="D125" s="64"/>
      <c r="E125" s="57"/>
      <c r="F125" s="57"/>
      <c r="G125" s="332"/>
      <c r="H125" s="332"/>
      <c r="I125" s="332"/>
      <c r="J125" s="332"/>
      <c r="K125" s="332"/>
      <c r="L125" s="332"/>
      <c r="M125" s="332"/>
      <c r="N125" s="332"/>
    </row>
    <row r="126" spans="1:17">
      <c r="A126" s="81"/>
      <c r="C126" s="81"/>
      <c r="F126" s="57"/>
      <c r="G126" s="332"/>
      <c r="H126" s="332"/>
      <c r="I126" s="332"/>
      <c r="J126" s="332"/>
      <c r="K126" s="332"/>
      <c r="L126" s="332"/>
      <c r="M126" s="332"/>
      <c r="N126" s="332"/>
    </row>
    <row r="127" spans="1:17">
      <c r="A127" s="81"/>
      <c r="C127" s="81"/>
      <c r="F127" s="57"/>
      <c r="G127" s="332"/>
      <c r="H127" s="332"/>
      <c r="I127" s="332"/>
      <c r="J127" s="332"/>
      <c r="K127" s="332"/>
      <c r="L127" s="332"/>
      <c r="M127" s="332"/>
      <c r="N127" s="332"/>
    </row>
    <row r="128" spans="1:17">
      <c r="A128" s="81"/>
      <c r="C128" s="81"/>
      <c r="F128" s="57"/>
      <c r="G128" s="332"/>
      <c r="H128" s="332"/>
      <c r="I128" s="332"/>
      <c r="J128" s="332"/>
      <c r="K128" s="332"/>
      <c r="L128" s="332"/>
      <c r="M128" s="332"/>
      <c r="N128" s="332"/>
    </row>
    <row r="129" spans="1:14">
      <c r="A129" s="81"/>
      <c r="C129" s="81"/>
      <c r="F129" s="57"/>
      <c r="G129" s="332"/>
      <c r="H129" s="332"/>
      <c r="I129" s="332"/>
      <c r="J129" s="332"/>
      <c r="K129" s="332"/>
      <c r="L129" s="332"/>
      <c r="M129" s="332"/>
      <c r="N129" s="332"/>
    </row>
    <row r="130" spans="1:14">
      <c r="A130" s="81"/>
      <c r="C130" s="81"/>
      <c r="G130" s="332"/>
      <c r="H130" s="332"/>
      <c r="I130" s="332"/>
      <c r="J130" s="332"/>
      <c r="K130" s="332"/>
      <c r="L130" s="332"/>
      <c r="M130" s="332"/>
      <c r="N130" s="332"/>
    </row>
    <row r="131" spans="1:14">
      <c r="A131" s="81"/>
      <c r="C131" s="81"/>
      <c r="F131" s="57"/>
      <c r="G131" s="332"/>
      <c r="H131" s="332"/>
      <c r="I131" s="332"/>
      <c r="J131" s="332"/>
      <c r="K131" s="332"/>
      <c r="L131" s="332"/>
      <c r="M131" s="332"/>
      <c r="N131" s="332"/>
    </row>
    <row r="132" spans="1:14">
      <c r="A132" s="81"/>
      <c r="C132" s="81"/>
      <c r="F132" s="57"/>
      <c r="G132" s="332"/>
      <c r="H132" s="332"/>
      <c r="I132" s="332"/>
      <c r="J132" s="332"/>
      <c r="K132" s="332"/>
      <c r="L132" s="332"/>
      <c r="M132" s="332"/>
      <c r="N132" s="332"/>
    </row>
    <row r="133" spans="1:14">
      <c r="A133" s="81"/>
      <c r="C133" s="81"/>
      <c r="F133" s="57"/>
      <c r="G133" s="187"/>
    </row>
    <row r="134" spans="1:14">
      <c r="A134" s="81"/>
      <c r="C134" s="81"/>
      <c r="F134" s="57"/>
      <c r="G134" s="187"/>
    </row>
    <row r="135" spans="1:14">
      <c r="A135" s="81"/>
      <c r="C135" s="81"/>
      <c r="G135" s="187"/>
    </row>
    <row r="136" spans="1:14">
      <c r="A136" s="81"/>
      <c r="C136" s="81"/>
      <c r="F136" s="57"/>
      <c r="G136" s="187"/>
    </row>
    <row r="137" spans="1:14">
      <c r="A137" s="81"/>
      <c r="C137" s="57"/>
      <c r="D137" s="57"/>
      <c r="E137" s="57"/>
      <c r="F137" s="57"/>
      <c r="G137" s="187"/>
    </row>
    <row r="138" spans="1:14">
      <c r="A138" s="81"/>
      <c r="C138" s="57"/>
      <c r="D138" s="57"/>
      <c r="E138" s="57"/>
      <c r="F138" s="57"/>
      <c r="G138" s="187"/>
    </row>
    <row r="139" spans="1:14">
      <c r="A139" s="81"/>
      <c r="C139" s="57"/>
      <c r="D139" s="57"/>
      <c r="E139" s="57"/>
      <c r="F139" s="57"/>
      <c r="G139" s="187"/>
    </row>
    <row r="140" spans="1:14">
      <c r="A140" s="81"/>
      <c r="C140" s="57"/>
      <c r="D140" s="57"/>
      <c r="E140" s="57"/>
      <c r="F140" s="57"/>
      <c r="G140" s="187"/>
    </row>
    <row r="141" spans="1:14">
      <c r="A141" s="81"/>
      <c r="C141" s="57"/>
      <c r="D141" s="57"/>
      <c r="E141" s="57"/>
      <c r="F141" s="57"/>
      <c r="G141" s="187"/>
    </row>
    <row r="142" spans="1:14">
      <c r="A142" s="81"/>
      <c r="C142" s="187"/>
      <c r="D142" s="187"/>
      <c r="E142" s="187"/>
      <c r="F142" s="187"/>
      <c r="G142" s="187"/>
    </row>
    <row r="143" spans="1:14">
      <c r="A143" s="81"/>
      <c r="C143" s="187"/>
      <c r="D143" s="187"/>
      <c r="E143" s="187"/>
      <c r="F143" s="187"/>
      <c r="G143" s="187"/>
    </row>
    <row r="144" spans="1:14">
      <c r="A144" s="81"/>
      <c r="C144" s="187"/>
      <c r="D144" s="187"/>
      <c r="E144" s="187"/>
      <c r="F144" s="187"/>
      <c r="G144" s="187"/>
    </row>
    <row r="145" spans="1:3">
      <c r="A145" s="81"/>
      <c r="C145" s="81"/>
    </row>
    <row r="146" spans="1:3">
      <c r="A146" s="81"/>
      <c r="C146" s="81"/>
    </row>
    <row r="147" spans="1:3">
      <c r="A147" s="81"/>
      <c r="C147" s="81"/>
    </row>
    <row r="148" spans="1:3">
      <c r="A148" s="81"/>
      <c r="C148" s="81"/>
    </row>
    <row r="149" spans="1:3">
      <c r="A149" s="81"/>
      <c r="C149" s="81"/>
    </row>
    <row r="150" spans="1:3">
      <c r="A150" s="81"/>
      <c r="C150" s="81"/>
    </row>
    <row r="151" spans="1:3">
      <c r="A151" s="81"/>
      <c r="C151" s="81"/>
    </row>
    <row r="152" spans="1:3">
      <c r="A152" s="81"/>
      <c r="C152" s="81"/>
    </row>
    <row r="153" spans="1:3">
      <c r="A153" s="81"/>
      <c r="C153" s="81"/>
    </row>
    <row r="154" spans="1:3">
      <c r="A154" s="81"/>
      <c r="C154" s="81"/>
    </row>
    <row r="155" spans="1:3">
      <c r="A155" s="81"/>
      <c r="C155" s="81"/>
    </row>
    <row r="156" spans="1:3">
      <c r="A156" s="81"/>
      <c r="C156" s="81"/>
    </row>
    <row r="157" spans="1:3">
      <c r="A157" s="81"/>
      <c r="C157" s="81"/>
    </row>
    <row r="158" spans="1:3">
      <c r="A158" s="81"/>
      <c r="C158" s="81"/>
    </row>
    <row r="159" spans="1:3">
      <c r="A159" s="81"/>
      <c r="C159" s="81"/>
    </row>
    <row r="160" spans="1:3">
      <c r="A160" s="81"/>
      <c r="C160" s="81"/>
    </row>
    <row r="161" spans="1:3">
      <c r="A161" s="81"/>
      <c r="C161" s="81"/>
    </row>
    <row r="162" spans="1:3">
      <c r="A162" s="81"/>
      <c r="C162" s="81"/>
    </row>
    <row r="163" spans="1:3">
      <c r="A163" s="81"/>
      <c r="C163" s="81"/>
    </row>
    <row r="164" spans="1:3">
      <c r="A164" s="81"/>
      <c r="C164" s="81"/>
    </row>
    <row r="165" spans="1:3">
      <c r="A165" s="81"/>
      <c r="C165" s="81"/>
    </row>
    <row r="166" spans="1:3">
      <c r="A166" s="81"/>
      <c r="C166" s="81"/>
    </row>
    <row r="167" spans="1:3">
      <c r="A167" s="81"/>
      <c r="C167" s="81"/>
    </row>
    <row r="168" spans="1:3">
      <c r="A168" s="81"/>
      <c r="C168" s="81"/>
    </row>
    <row r="169" spans="1:3">
      <c r="A169" s="81"/>
      <c r="C169" s="81"/>
    </row>
    <row r="170" spans="1:3">
      <c r="A170" s="81"/>
      <c r="C170" s="81"/>
    </row>
    <row r="171" spans="1:3">
      <c r="A171" s="81"/>
      <c r="C171" s="81"/>
    </row>
    <row r="172" spans="1:3">
      <c r="A172" s="81"/>
      <c r="C172" s="81"/>
    </row>
    <row r="173" spans="1:3">
      <c r="A173" s="81"/>
      <c r="C173" s="81"/>
    </row>
    <row r="174" spans="1:3">
      <c r="A174" s="81"/>
      <c r="C174" s="81"/>
    </row>
    <row r="175" spans="1:3">
      <c r="A175" s="81"/>
      <c r="C175" s="81"/>
    </row>
    <row r="176" spans="1:3">
      <c r="A176" s="81"/>
      <c r="C176" s="81"/>
    </row>
    <row r="177" spans="1:3">
      <c r="A177" s="81"/>
      <c r="C177" s="81"/>
    </row>
    <row r="178" spans="1:3">
      <c r="A178" s="81"/>
      <c r="C178" s="81"/>
    </row>
    <row r="179" spans="1:3">
      <c r="A179" s="81"/>
      <c r="C179" s="81"/>
    </row>
    <row r="180" spans="1:3">
      <c r="A180" s="81"/>
      <c r="C180" s="81"/>
    </row>
    <row r="181" spans="1:3">
      <c r="A181" s="81"/>
      <c r="C181" s="81"/>
    </row>
    <row r="182" spans="1:3">
      <c r="A182" s="81"/>
      <c r="C182" s="81"/>
    </row>
    <row r="183" spans="1:3">
      <c r="A183" s="81"/>
      <c r="C183" s="81"/>
    </row>
    <row r="184" spans="1:3">
      <c r="A184" s="81"/>
      <c r="C184" s="81"/>
    </row>
    <row r="185" spans="1:3">
      <c r="A185" s="81"/>
      <c r="C185" s="81"/>
    </row>
    <row r="186" spans="1:3">
      <c r="A186" s="81"/>
      <c r="C186" s="81"/>
    </row>
    <row r="187" spans="1:3">
      <c r="A187" s="81"/>
      <c r="C187" s="81"/>
    </row>
    <row r="188" spans="1:3">
      <c r="A188" s="81"/>
      <c r="C188" s="81"/>
    </row>
    <row r="189" spans="1:3">
      <c r="A189" s="81"/>
      <c r="C189" s="81"/>
    </row>
    <row r="190" spans="1:3">
      <c r="A190" s="81"/>
      <c r="C190" s="81"/>
    </row>
    <row r="191" spans="1:3">
      <c r="A191" s="81"/>
      <c r="C191" s="81"/>
    </row>
    <row r="192" spans="1:3">
      <c r="A192" s="81"/>
      <c r="C192" s="81"/>
    </row>
    <row r="193" spans="1:3">
      <c r="A193" s="81"/>
      <c r="C193" s="81"/>
    </row>
    <row r="194" spans="1:3">
      <c r="A194" s="81"/>
      <c r="C194" s="81"/>
    </row>
    <row r="195" spans="1:3">
      <c r="A195" s="81"/>
      <c r="C195" s="81"/>
    </row>
    <row r="196" spans="1:3">
      <c r="A196" s="81"/>
      <c r="C196" s="81"/>
    </row>
    <row r="197" spans="1:3">
      <c r="A197" s="81"/>
      <c r="C197" s="81"/>
    </row>
    <row r="198" spans="1:3">
      <c r="A198" s="81"/>
      <c r="C198" s="81"/>
    </row>
    <row r="199" spans="1:3">
      <c r="A199" s="81"/>
      <c r="C199" s="81"/>
    </row>
    <row r="200" spans="1:3">
      <c r="A200" s="81"/>
      <c r="C200" s="81"/>
    </row>
    <row r="201" spans="1:3">
      <c r="A201" s="81"/>
      <c r="C201" s="81"/>
    </row>
    <row r="202" spans="1:3">
      <c r="A202" s="81"/>
      <c r="C202" s="81"/>
    </row>
    <row r="203" spans="1:3">
      <c r="A203" s="81"/>
      <c r="C203" s="81"/>
    </row>
    <row r="204" spans="1:3">
      <c r="A204" s="81"/>
      <c r="C204" s="81"/>
    </row>
    <row r="205" spans="1:3">
      <c r="A205" s="81"/>
      <c r="C205" s="81"/>
    </row>
    <row r="206" spans="1:3">
      <c r="A206" s="81"/>
      <c r="C206" s="81"/>
    </row>
    <row r="207" spans="1:3">
      <c r="A207" s="81"/>
      <c r="C207" s="81"/>
    </row>
    <row r="208" spans="1:3">
      <c r="A208" s="81"/>
      <c r="C208" s="81"/>
    </row>
    <row r="209" spans="1:3">
      <c r="A209" s="81"/>
      <c r="C209" s="81"/>
    </row>
    <row r="210" spans="1:3">
      <c r="A210" s="81"/>
      <c r="C210" s="81"/>
    </row>
    <row r="211" spans="1:3">
      <c r="A211" s="81"/>
      <c r="C211" s="81"/>
    </row>
    <row r="212" spans="1:3">
      <c r="A212" s="81"/>
    </row>
    <row r="213" spans="1:3">
      <c r="A213" s="81"/>
    </row>
    <row r="214" spans="1:3">
      <c r="A214" s="81"/>
    </row>
    <row r="215" spans="1:3">
      <c r="A215" s="81"/>
    </row>
    <row r="216" spans="1:3">
      <c r="A216" s="81"/>
    </row>
    <row r="217" spans="1:3">
      <c r="A217" s="81"/>
    </row>
    <row r="218" spans="1:3">
      <c r="A218" s="81"/>
    </row>
    <row r="219" spans="1:3">
      <c r="A219" s="81"/>
    </row>
    <row r="220" spans="1:3">
      <c r="A220" s="81"/>
    </row>
    <row r="221" spans="1:3">
      <c r="A221" s="81"/>
    </row>
    <row r="222" spans="1:3">
      <c r="A222" s="81"/>
    </row>
    <row r="223" spans="1:3">
      <c r="A223" s="81"/>
    </row>
    <row r="224" spans="1:3">
      <c r="A224" s="81"/>
    </row>
    <row r="225" spans="1:1">
      <c r="A225" s="81"/>
    </row>
    <row r="226" spans="1:1">
      <c r="A226" s="81"/>
    </row>
    <row r="227" spans="1:1">
      <c r="A227" s="81"/>
    </row>
    <row r="228" spans="1:1">
      <c r="A228" s="81"/>
    </row>
    <row r="229" spans="1:1">
      <c r="A229" s="81"/>
    </row>
    <row r="230" spans="1:1">
      <c r="A230" s="81"/>
    </row>
    <row r="231" spans="1:1">
      <c r="A231" s="81"/>
    </row>
    <row r="232" spans="1:1">
      <c r="A232" s="81"/>
    </row>
    <row r="233" spans="1:1">
      <c r="A233" s="81"/>
    </row>
    <row r="234" spans="1:1">
      <c r="A234" s="81"/>
    </row>
    <row r="235" spans="1:1">
      <c r="A235" s="81"/>
    </row>
    <row r="236" spans="1:1">
      <c r="A236" s="81"/>
    </row>
    <row r="237" spans="1:1">
      <c r="A237" s="81"/>
    </row>
    <row r="238" spans="1:1">
      <c r="A238" s="81"/>
    </row>
    <row r="239" spans="1:1">
      <c r="A239" s="81"/>
    </row>
    <row r="240" spans="1:1">
      <c r="A240" s="81"/>
    </row>
    <row r="241" spans="1:1">
      <c r="A241" s="81"/>
    </row>
    <row r="242" spans="1:1">
      <c r="A242" s="81"/>
    </row>
    <row r="243" spans="1:1">
      <c r="A243" s="81"/>
    </row>
    <row r="244" spans="1:1">
      <c r="A244" s="81"/>
    </row>
    <row r="245" spans="1:1">
      <c r="A245" s="81"/>
    </row>
    <row r="246" spans="1:1">
      <c r="A246" s="81"/>
    </row>
    <row r="247" spans="1:1">
      <c r="A247" s="81"/>
    </row>
    <row r="248" spans="1:1">
      <c r="A248" s="81"/>
    </row>
    <row r="249" spans="1:1">
      <c r="A249" s="81"/>
    </row>
    <row r="250" spans="1:1">
      <c r="A250" s="81"/>
    </row>
    <row r="251" spans="1:1">
      <c r="A251" s="81"/>
    </row>
    <row r="252" spans="1:1">
      <c r="A252" s="81"/>
    </row>
    <row r="253" spans="1:1">
      <c r="A253" s="81"/>
    </row>
    <row r="254" spans="1:1">
      <c r="A254" s="81"/>
    </row>
    <row r="255" spans="1:1">
      <c r="A255" s="81"/>
    </row>
    <row r="256" spans="1:1">
      <c r="A256" s="81"/>
    </row>
    <row r="257" spans="1:1">
      <c r="A257" s="81"/>
    </row>
    <row r="258" spans="1:1">
      <c r="A258" s="81"/>
    </row>
    <row r="259" spans="1:1">
      <c r="A259" s="81"/>
    </row>
    <row r="260" spans="1:1">
      <c r="A260" s="81"/>
    </row>
    <row r="261" spans="1:1">
      <c r="A261" s="81"/>
    </row>
    <row r="262" spans="1:1">
      <c r="A262" s="81"/>
    </row>
    <row r="263" spans="1:1">
      <c r="A263" s="81"/>
    </row>
    <row r="264" spans="1:1">
      <c r="A264" s="81"/>
    </row>
    <row r="265" spans="1:1">
      <c r="A265" s="81"/>
    </row>
    <row r="266" spans="1:1">
      <c r="A266" s="81"/>
    </row>
    <row r="267" spans="1:1">
      <c r="A267" s="81"/>
    </row>
    <row r="268" spans="1:1">
      <c r="A268" s="81"/>
    </row>
    <row r="269" spans="1:1">
      <c r="A269" s="81"/>
    </row>
    <row r="270" spans="1:1">
      <c r="A270" s="81"/>
    </row>
    <row r="271" spans="1:1">
      <c r="A271" s="81"/>
    </row>
    <row r="272" spans="1:1">
      <c r="A272" s="81"/>
    </row>
    <row r="273" spans="1:1">
      <c r="A273" s="81"/>
    </row>
    <row r="274" spans="1:1">
      <c r="A274" s="81"/>
    </row>
    <row r="275" spans="1:1">
      <c r="A275" s="81"/>
    </row>
    <row r="276" spans="1:1">
      <c r="A276" s="81"/>
    </row>
    <row r="277" spans="1:1">
      <c r="A277" s="81"/>
    </row>
    <row r="278" spans="1:1">
      <c r="A278" s="81"/>
    </row>
    <row r="279" spans="1:1">
      <c r="A279" s="81"/>
    </row>
    <row r="280" spans="1:1">
      <c r="A280" s="81"/>
    </row>
    <row r="281" spans="1:1">
      <c r="A281" s="81"/>
    </row>
    <row r="282" spans="1:1">
      <c r="A282" s="81"/>
    </row>
    <row r="283" spans="1:1">
      <c r="A283" s="81"/>
    </row>
    <row r="284" spans="1:1">
      <c r="A284" s="81"/>
    </row>
    <row r="285" spans="1:1">
      <c r="A285" s="81"/>
    </row>
    <row r="286" spans="1:1">
      <c r="A286" s="81"/>
    </row>
    <row r="287" spans="1:1">
      <c r="A287" s="81"/>
    </row>
    <row r="288" spans="1:1">
      <c r="A288" s="81"/>
    </row>
    <row r="289" spans="1:1">
      <c r="A289" s="81"/>
    </row>
    <row r="290" spans="1:1">
      <c r="A290" s="81"/>
    </row>
    <row r="291" spans="1:1">
      <c r="A291" s="81"/>
    </row>
    <row r="292" spans="1:1">
      <c r="A292" s="81"/>
    </row>
    <row r="293" spans="1:1">
      <c r="A293" s="81"/>
    </row>
    <row r="294" spans="1:1">
      <c r="A294" s="81"/>
    </row>
    <row r="295" spans="1:1">
      <c r="A295" s="81"/>
    </row>
    <row r="296" spans="1:1">
      <c r="A296" s="81"/>
    </row>
    <row r="297" spans="1:1">
      <c r="A297" s="81"/>
    </row>
    <row r="298" spans="1:1">
      <c r="A298" s="81"/>
    </row>
    <row r="299" spans="1:1">
      <c r="A299" s="81"/>
    </row>
    <row r="300" spans="1:1">
      <c r="A300" s="81"/>
    </row>
    <row r="301" spans="1:1">
      <c r="A301" s="81"/>
    </row>
    <row r="302" spans="1:1">
      <c r="A302" s="81"/>
    </row>
    <row r="303" spans="1:1">
      <c r="A303" s="81"/>
    </row>
    <row r="304" spans="1:1">
      <c r="A304" s="81"/>
    </row>
    <row r="305" spans="1:1">
      <c r="A305" s="81"/>
    </row>
    <row r="306" spans="1:1">
      <c r="A306" s="81"/>
    </row>
    <row r="307" spans="1:1">
      <c r="A307" s="81"/>
    </row>
    <row r="308" spans="1:1">
      <c r="A308" s="81"/>
    </row>
    <row r="309" spans="1:1">
      <c r="A309" s="81"/>
    </row>
    <row r="310" spans="1:1">
      <c r="A310" s="81"/>
    </row>
    <row r="311" spans="1:1">
      <c r="A311" s="81"/>
    </row>
    <row r="312" spans="1:1">
      <c r="A312" s="81"/>
    </row>
    <row r="313" spans="1:1">
      <c r="A313" s="81"/>
    </row>
    <row r="314" spans="1:1">
      <c r="A314" s="81"/>
    </row>
    <row r="315" spans="1:1">
      <c r="A315" s="81"/>
    </row>
    <row r="316" spans="1:1">
      <c r="A316" s="81"/>
    </row>
    <row r="317" spans="1:1">
      <c r="A317" s="81"/>
    </row>
    <row r="318" spans="1:1">
      <c r="A318" s="81"/>
    </row>
    <row r="319" spans="1:1">
      <c r="A319" s="81"/>
    </row>
    <row r="320" spans="1:1">
      <c r="A320" s="81"/>
    </row>
    <row r="321" spans="1:1">
      <c r="A321" s="81"/>
    </row>
    <row r="322" spans="1:1">
      <c r="A322" s="81"/>
    </row>
    <row r="323" spans="1:1">
      <c r="A323" s="81"/>
    </row>
    <row r="324" spans="1:1">
      <c r="A324" s="81"/>
    </row>
    <row r="325" spans="1:1">
      <c r="A325" s="81"/>
    </row>
    <row r="326" spans="1:1">
      <c r="A326" s="81"/>
    </row>
    <row r="327" spans="1:1">
      <c r="A327" s="81"/>
    </row>
    <row r="328" spans="1:1">
      <c r="A328" s="81"/>
    </row>
    <row r="329" spans="1:1">
      <c r="A329" s="81"/>
    </row>
    <row r="330" spans="1:1">
      <c r="A330" s="81"/>
    </row>
    <row r="331" spans="1:1">
      <c r="A331" s="81"/>
    </row>
    <row r="332" spans="1:1">
      <c r="A332" s="81"/>
    </row>
    <row r="333" spans="1:1">
      <c r="A333" s="81"/>
    </row>
    <row r="334" spans="1:1">
      <c r="A334" s="81"/>
    </row>
    <row r="335" spans="1:1">
      <c r="A335" s="81"/>
    </row>
    <row r="336" spans="1:1">
      <c r="A336" s="81"/>
    </row>
    <row r="337" spans="1:1">
      <c r="A337" s="81"/>
    </row>
    <row r="338" spans="1:1">
      <c r="A338" s="81"/>
    </row>
    <row r="339" spans="1:1">
      <c r="A339" s="81"/>
    </row>
    <row r="340" spans="1:1">
      <c r="A340" s="81"/>
    </row>
    <row r="341" spans="1:1">
      <c r="A341" s="81"/>
    </row>
    <row r="342" spans="1:1">
      <c r="A342" s="81"/>
    </row>
    <row r="343" spans="1:1">
      <c r="A343" s="81"/>
    </row>
    <row r="344" spans="1:1">
      <c r="A344" s="81"/>
    </row>
    <row r="345" spans="1:1">
      <c r="A345" s="81"/>
    </row>
    <row r="346" spans="1:1">
      <c r="A346" s="81"/>
    </row>
    <row r="347" spans="1:1">
      <c r="A347" s="81"/>
    </row>
    <row r="348" spans="1:1">
      <c r="A348" s="81"/>
    </row>
    <row r="349" spans="1:1">
      <c r="A349" s="81"/>
    </row>
  </sheetData>
  <mergeCells count="1">
    <mergeCell ref="G121:N132"/>
  </mergeCells>
  <hyperlinks>
    <hyperlink ref="G111" r:id="rId1" display="http://www.gwwmaterialen.nl/soortelijk-gewicht-materialen/"/>
    <hyperlink ref="K117" r:id="rId2"/>
  </hyperlinks>
  <pageMargins left="0.7" right="0.7" top="0.75" bottom="0.75" header="0.3" footer="0.3"/>
  <ignoredErrors>
    <ignoredError sqref="F3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 enableFormatConditionsCalculation="0">
    <tabColor rgb="FFC00000"/>
  </sheetPr>
  <dimension ref="A1:P29"/>
  <sheetViews>
    <sheetView workbookViewId="0">
      <selection activeCell="E15" sqref="E15:K15"/>
    </sheetView>
  </sheetViews>
  <sheetFormatPr baseColWidth="10" defaultColWidth="8.83203125" defaultRowHeight="14" x14ac:dyDescent="0"/>
  <cols>
    <col min="1" max="1" width="16" customWidth="1"/>
    <col min="7" max="7" width="9.1640625" customWidth="1"/>
  </cols>
  <sheetData>
    <row r="1" spans="1:16" ht="15" thickBot="1"/>
    <row r="2" spans="1:16" ht="15" thickBot="1">
      <c r="A2" s="38" t="s">
        <v>183</v>
      </c>
      <c r="B2" s="39" t="s">
        <v>184</v>
      </c>
      <c r="C2" s="40" t="s">
        <v>181</v>
      </c>
      <c r="D2" s="41" t="s">
        <v>182</v>
      </c>
      <c r="E2" s="3"/>
      <c r="G2" s="360" t="s">
        <v>199</v>
      </c>
      <c r="H2" s="361"/>
      <c r="I2" s="45"/>
      <c r="J2" s="24">
        <v>2009</v>
      </c>
      <c r="L2" t="s">
        <v>206</v>
      </c>
      <c r="P2">
        <v>1.5</v>
      </c>
    </row>
    <row r="3" spans="1:16">
      <c r="A3" s="21" t="s">
        <v>169</v>
      </c>
      <c r="B3" s="42" t="s">
        <v>96</v>
      </c>
      <c r="C3" s="43">
        <f>'Water Demand'!D17</f>
        <v>120.1</v>
      </c>
      <c r="D3" s="44">
        <f t="shared" ref="D3:D8" si="0">C3*30</f>
        <v>3603</v>
      </c>
      <c r="E3" s="3"/>
      <c r="G3" s="362">
        <v>1</v>
      </c>
      <c r="H3" s="363"/>
      <c r="I3" s="352">
        <v>31300000</v>
      </c>
      <c r="J3" s="353"/>
    </row>
    <row r="4" spans="1:16">
      <c r="A4" s="22" t="s">
        <v>169</v>
      </c>
      <c r="B4" s="33" t="s">
        <v>97</v>
      </c>
      <c r="C4" s="32">
        <f>'Water Demand'!E17</f>
        <v>232</v>
      </c>
      <c r="D4" s="34">
        <f t="shared" si="0"/>
        <v>6960</v>
      </c>
      <c r="E4" s="3"/>
      <c r="G4" s="364">
        <v>2</v>
      </c>
      <c r="H4" s="365"/>
      <c r="I4" s="354">
        <v>35800000</v>
      </c>
      <c r="J4" s="355"/>
    </row>
    <row r="5" spans="1:16">
      <c r="A5" s="22" t="s">
        <v>36</v>
      </c>
      <c r="B5" s="33" t="s">
        <v>96</v>
      </c>
      <c r="C5" s="32">
        <f>'Water Demand'!D24</f>
        <v>28.75</v>
      </c>
      <c r="D5" s="34">
        <f t="shared" si="0"/>
        <v>862.5</v>
      </c>
      <c r="E5" s="3"/>
      <c r="G5" s="364">
        <v>3</v>
      </c>
      <c r="H5" s="365"/>
      <c r="I5" s="354">
        <v>18100000</v>
      </c>
      <c r="J5" s="355"/>
    </row>
    <row r="6" spans="1:16">
      <c r="A6" s="22" t="s">
        <v>36</v>
      </c>
      <c r="B6" s="33" t="s">
        <v>97</v>
      </c>
      <c r="C6" s="32">
        <f>'Water Demand'!E24</f>
        <v>48</v>
      </c>
      <c r="D6" s="34">
        <f t="shared" si="0"/>
        <v>1440</v>
      </c>
      <c r="E6" s="3"/>
      <c r="G6" s="364">
        <v>4</v>
      </c>
      <c r="H6" s="365"/>
      <c r="I6" s="354">
        <v>15700000</v>
      </c>
      <c r="J6" s="355"/>
    </row>
    <row r="7" spans="1:16">
      <c r="A7" s="22" t="s">
        <v>170</v>
      </c>
      <c r="B7" s="33" t="s">
        <v>96</v>
      </c>
      <c r="C7" s="32">
        <f>'Water Demand'!D35</f>
        <v>167.5</v>
      </c>
      <c r="D7" s="34">
        <f t="shared" si="0"/>
        <v>5025</v>
      </c>
      <c r="E7" s="3"/>
      <c r="G7" s="358">
        <v>5</v>
      </c>
      <c r="H7" s="359"/>
      <c r="I7" s="356">
        <v>12700000</v>
      </c>
      <c r="J7" s="357"/>
    </row>
    <row r="8" spans="1:16" ht="15" thickBot="1">
      <c r="A8" s="23" t="s">
        <v>170</v>
      </c>
      <c r="B8" s="35" t="s">
        <v>97</v>
      </c>
      <c r="C8" s="36">
        <f>'Water Demand'!E35</f>
        <v>350</v>
      </c>
      <c r="D8" s="37">
        <f t="shared" si="0"/>
        <v>10500</v>
      </c>
      <c r="G8" s="350" t="s">
        <v>200</v>
      </c>
      <c r="H8" s="351"/>
      <c r="I8" s="348">
        <f>SUMPRODUCT(G3:G7,I3:I7)/SUM(I3:I7)</f>
        <v>2.495598591549296</v>
      </c>
      <c r="J8" s="349"/>
    </row>
    <row r="11" spans="1:16">
      <c r="E11" s="3"/>
    </row>
    <row r="12" spans="1:16" ht="15" thickBot="1">
      <c r="E12" s="3"/>
    </row>
    <row r="13" spans="1:16" ht="15" thickBot="1">
      <c r="A13" s="38" t="s">
        <v>171</v>
      </c>
      <c r="B13" s="39" t="s">
        <v>173</v>
      </c>
      <c r="C13" s="40" t="s">
        <v>174</v>
      </c>
      <c r="D13" s="40" t="s">
        <v>175</v>
      </c>
      <c r="E13" s="40" t="s">
        <v>176</v>
      </c>
      <c r="F13" s="40" t="s">
        <v>120</v>
      </c>
      <c r="G13" s="40" t="s">
        <v>121</v>
      </c>
      <c r="H13" s="40" t="s">
        <v>122</v>
      </c>
      <c r="I13" s="40" t="s">
        <v>177</v>
      </c>
      <c r="J13" s="40" t="s">
        <v>178</v>
      </c>
      <c r="K13" s="40" t="s">
        <v>179</v>
      </c>
      <c r="L13" s="40" t="s">
        <v>180</v>
      </c>
      <c r="M13" s="41" t="s">
        <v>172</v>
      </c>
    </row>
    <row r="14" spans="1:16" ht="16">
      <c r="A14" s="22" t="s">
        <v>161</v>
      </c>
      <c r="B14" s="28">
        <v>8</v>
      </c>
      <c r="C14" s="29">
        <v>2</v>
      </c>
      <c r="D14" s="29">
        <v>6</v>
      </c>
      <c r="E14" s="29">
        <v>34</v>
      </c>
      <c r="F14" s="29">
        <v>102</v>
      </c>
      <c r="G14" s="30">
        <v>110</v>
      </c>
      <c r="H14" s="30">
        <v>98</v>
      </c>
      <c r="I14" s="30">
        <v>130</v>
      </c>
      <c r="J14" s="30">
        <v>140</v>
      </c>
      <c r="K14" s="30">
        <v>218</v>
      </c>
      <c r="L14" s="30">
        <v>129</v>
      </c>
      <c r="M14" s="31">
        <v>35</v>
      </c>
      <c r="N14" s="19" t="s">
        <v>166</v>
      </c>
    </row>
    <row r="15" spans="1:16" ht="17" thickBot="1">
      <c r="A15" s="23" t="s">
        <v>67</v>
      </c>
      <c r="B15" s="25">
        <v>1</v>
      </c>
      <c r="C15" s="26">
        <v>2</v>
      </c>
      <c r="D15" s="26">
        <v>9</v>
      </c>
      <c r="E15" s="26">
        <v>34</v>
      </c>
      <c r="F15" s="26">
        <v>276</v>
      </c>
      <c r="G15" s="26">
        <v>332</v>
      </c>
      <c r="H15" s="26">
        <v>179</v>
      </c>
      <c r="I15" s="26">
        <v>234</v>
      </c>
      <c r="J15" s="26">
        <v>412</v>
      </c>
      <c r="K15" s="26">
        <v>306</v>
      </c>
      <c r="L15" s="26">
        <v>59</v>
      </c>
      <c r="M15" s="27">
        <v>11</v>
      </c>
      <c r="N15" s="19" t="s">
        <v>166</v>
      </c>
    </row>
    <row r="18" spans="1:8">
      <c r="F18" s="7"/>
    </row>
    <row r="19" spans="1:8">
      <c r="F19" s="7"/>
      <c r="H19" s="1"/>
    </row>
    <row r="20" spans="1:8">
      <c r="F20" s="7"/>
      <c r="H20" s="1"/>
    </row>
    <row r="21" spans="1:8">
      <c r="E21" s="7"/>
      <c r="F21" s="7"/>
    </row>
    <row r="22" spans="1:8">
      <c r="E22" s="7"/>
      <c r="F22" s="7"/>
    </row>
    <row r="23" spans="1:8">
      <c r="E23" s="7"/>
      <c r="F23" s="7"/>
    </row>
    <row r="24" spans="1:8">
      <c r="E24" s="7"/>
      <c r="F24" s="7"/>
    </row>
    <row r="25" spans="1:8">
      <c r="E25" s="7"/>
      <c r="F25" s="7"/>
    </row>
    <row r="26" spans="1:8">
      <c r="E26" s="7"/>
      <c r="F26" s="7"/>
    </row>
    <row r="27" spans="1:8">
      <c r="A27" s="20" t="s">
        <v>167</v>
      </c>
      <c r="E27" s="7"/>
      <c r="F27" s="7"/>
    </row>
    <row r="28" spans="1:8">
      <c r="A28" s="9" t="s">
        <v>168</v>
      </c>
    </row>
    <row r="29" spans="1:8">
      <c r="A29" s="10"/>
    </row>
  </sheetData>
  <mergeCells count="13">
    <mergeCell ref="G2:H2"/>
    <mergeCell ref="G3:H3"/>
    <mergeCell ref="G4:H4"/>
    <mergeCell ref="G5:H5"/>
    <mergeCell ref="G6:H6"/>
    <mergeCell ref="I8:J8"/>
    <mergeCell ref="G8:H8"/>
    <mergeCell ref="I3:J3"/>
    <mergeCell ref="I4:J4"/>
    <mergeCell ref="I5:J5"/>
    <mergeCell ref="I6:J6"/>
    <mergeCell ref="I7:J7"/>
    <mergeCell ref="G7:H7"/>
  </mergeCells>
  <hyperlinks>
    <hyperlink ref="A2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/>
  <dimension ref="A1:AQ376"/>
  <sheetViews>
    <sheetView topLeftCell="A22" zoomScale="85" zoomScaleNormal="85" zoomScalePageLayoutView="85" workbookViewId="0">
      <selection activeCell="C80" sqref="C80:C81"/>
    </sheetView>
  </sheetViews>
  <sheetFormatPr baseColWidth="10" defaultColWidth="8.83203125" defaultRowHeight="14" x14ac:dyDescent="0"/>
  <cols>
    <col min="1" max="1" width="8.83203125" style="80"/>
    <col min="2" max="2" width="2.5" style="81" customWidth="1"/>
    <col min="3" max="3" width="11.5" style="3" customWidth="1"/>
    <col min="4" max="4" width="8.83203125" style="3"/>
    <col min="5" max="5" width="3.33203125" style="3" customWidth="1"/>
    <col min="6" max="6" width="8.83203125" style="3"/>
    <col min="7" max="7" width="9.1640625" style="3" customWidth="1"/>
    <col min="8" max="8" width="7.33203125" style="3" customWidth="1"/>
    <col min="9" max="9" width="8.5" style="3" customWidth="1"/>
    <col min="10" max="21" width="8.83203125" style="80"/>
    <col min="22" max="43" width="8.83203125" style="81"/>
    <col min="44" max="16384" width="8.83203125" style="3"/>
  </cols>
  <sheetData>
    <row r="1" spans="1:21" s="81" customFormat="1"/>
    <row r="2" spans="1:21" s="81" customFormat="1" ht="18">
      <c r="C2" s="49" t="s">
        <v>146</v>
      </c>
    </row>
    <row r="3" spans="1:21" ht="18">
      <c r="A3" s="81"/>
      <c r="C3" s="81"/>
      <c r="D3" s="49"/>
      <c r="E3" s="81"/>
      <c r="F3" s="81"/>
      <c r="G3" s="81"/>
      <c r="H3" s="126"/>
      <c r="I3" s="81"/>
      <c r="J3" s="81"/>
      <c r="K3" s="81"/>
      <c r="L3" s="81"/>
      <c r="M3" s="81"/>
      <c r="N3" s="126"/>
      <c r="O3" s="126"/>
      <c r="P3" s="126"/>
      <c r="Q3" s="81"/>
      <c r="R3" s="81"/>
      <c r="S3" s="81"/>
      <c r="T3" s="81"/>
      <c r="U3" s="81"/>
    </row>
    <row r="4" spans="1:21" ht="6.75" customHeight="1" thickBot="1">
      <c r="A4" s="81"/>
      <c r="C4" s="81"/>
      <c r="D4" s="81"/>
      <c r="E4" s="81"/>
      <c r="F4" s="81"/>
      <c r="G4" s="81"/>
      <c r="H4" s="126"/>
      <c r="I4" s="81"/>
      <c r="J4" s="81"/>
      <c r="K4" s="81"/>
      <c r="L4" s="81"/>
      <c r="M4" s="81"/>
      <c r="N4" s="126"/>
      <c r="O4" s="126"/>
      <c r="P4" s="126"/>
      <c r="Q4" s="81"/>
      <c r="R4" s="81"/>
      <c r="S4" s="81"/>
      <c r="T4" s="81"/>
      <c r="U4" s="81"/>
    </row>
    <row r="5" spans="1:21" s="81" customFormat="1">
      <c r="C5" s="168" t="s">
        <v>145</v>
      </c>
      <c r="D5" s="170" t="s">
        <v>144</v>
      </c>
      <c r="E5" s="170"/>
      <c r="F5" s="170" t="s">
        <v>143</v>
      </c>
      <c r="G5" s="69"/>
      <c r="H5" s="256"/>
      <c r="I5" s="73"/>
    </row>
    <row r="6" spans="1:21" s="81" customFormat="1" ht="15.75" customHeight="1" thickBot="1">
      <c r="C6" s="71"/>
      <c r="D6" s="169">
        <v>50</v>
      </c>
      <c r="E6" s="54" t="s">
        <v>142</v>
      </c>
      <c r="F6" s="169">
        <v>50</v>
      </c>
      <c r="G6" s="54" t="s">
        <v>142</v>
      </c>
      <c r="H6" s="54">
        <f>D6*F6</f>
        <v>2500</v>
      </c>
      <c r="I6" s="75" t="s">
        <v>147</v>
      </c>
    </row>
    <row r="7" spans="1:21" s="81" customFormat="1" ht="15.75" customHeight="1" thickBot="1">
      <c r="C7" s="57"/>
      <c r="D7" s="57"/>
      <c r="E7" s="57"/>
      <c r="F7" s="57"/>
      <c r="G7" s="57"/>
      <c r="H7" s="57"/>
      <c r="I7" s="57"/>
    </row>
    <row r="8" spans="1:21" s="81" customFormat="1" ht="15.75" customHeight="1" thickBot="1">
      <c r="C8" s="79" t="s">
        <v>141</v>
      </c>
      <c r="D8" s="77"/>
      <c r="E8" s="77"/>
      <c r="F8" s="77"/>
      <c r="G8" s="83"/>
      <c r="H8" s="77"/>
      <c r="I8" s="78"/>
    </row>
    <row r="9" spans="1:21" s="81" customFormat="1" ht="16">
      <c r="C9" s="338" t="s">
        <v>140</v>
      </c>
      <c r="D9" s="339"/>
      <c r="E9" s="339"/>
      <c r="F9" s="340"/>
      <c r="G9" s="84">
        <f>SUM(G10,G11,G12)</f>
        <v>1</v>
      </c>
      <c r="H9" s="76">
        <f>H6</f>
        <v>2500</v>
      </c>
      <c r="I9" s="73" t="s">
        <v>147</v>
      </c>
    </row>
    <row r="10" spans="1:21" s="81" customFormat="1" ht="16">
      <c r="C10" s="341" t="s">
        <v>370</v>
      </c>
      <c r="D10" s="342"/>
      <c r="E10" s="342"/>
      <c r="F10" s="343"/>
      <c r="G10" s="6">
        <v>0.1</v>
      </c>
      <c r="H10" s="4">
        <f>H6*G10</f>
        <v>250</v>
      </c>
      <c r="I10" s="74" t="s">
        <v>147</v>
      </c>
    </row>
    <row r="11" spans="1:21" s="81" customFormat="1" ht="16">
      <c r="C11" s="341" t="s">
        <v>60</v>
      </c>
      <c r="D11" s="342"/>
      <c r="E11" s="342"/>
      <c r="F11" s="343"/>
      <c r="G11" s="6">
        <v>0.1</v>
      </c>
      <c r="H11" s="4">
        <f>H6*G11</f>
        <v>250</v>
      </c>
      <c r="I11" s="74" t="s">
        <v>147</v>
      </c>
    </row>
    <row r="12" spans="1:21" s="81" customFormat="1" ht="16">
      <c r="C12" s="341" t="s">
        <v>139</v>
      </c>
      <c r="D12" s="342"/>
      <c r="E12" s="342"/>
      <c r="F12" s="343"/>
      <c r="G12" s="6">
        <v>0.8</v>
      </c>
      <c r="H12" s="4">
        <f>H6*G12</f>
        <v>2000</v>
      </c>
      <c r="I12" s="74" t="s">
        <v>147</v>
      </c>
    </row>
    <row r="13" spans="1:21" s="81" customFormat="1" ht="17" thickBot="1">
      <c r="C13" s="344" t="s">
        <v>138</v>
      </c>
      <c r="D13" s="345"/>
      <c r="E13" s="345"/>
      <c r="F13" s="346"/>
      <c r="G13" s="257">
        <v>0.5</v>
      </c>
      <c r="H13" s="258">
        <f>H12*G13</f>
        <v>1000</v>
      </c>
      <c r="I13" s="259" t="s">
        <v>330</v>
      </c>
    </row>
    <row r="14" spans="1:21" s="81" customFormat="1" ht="15" thickBot="1">
      <c r="C14" s="57"/>
      <c r="D14" s="57"/>
      <c r="E14" s="57"/>
      <c r="F14" s="57"/>
      <c r="G14" s="57"/>
      <c r="H14" s="57"/>
      <c r="I14" s="57"/>
    </row>
    <row r="15" spans="1:21" s="81" customFormat="1" ht="15.75" customHeight="1" thickBot="1">
      <c r="C15" s="336" t="s">
        <v>137</v>
      </c>
      <c r="D15" s="337"/>
      <c r="E15" s="337"/>
      <c r="F15" s="337"/>
      <c r="G15" s="77"/>
      <c r="H15" s="77"/>
      <c r="I15" s="78"/>
    </row>
    <row r="16" spans="1:21" s="81" customFormat="1" ht="16">
      <c r="C16" s="338" t="s">
        <v>136</v>
      </c>
      <c r="D16" s="339"/>
      <c r="E16" s="339"/>
      <c r="F16" s="339"/>
      <c r="G16" s="340"/>
      <c r="H16" s="76">
        <f>H13</f>
        <v>1000</v>
      </c>
      <c r="I16" s="73" t="s">
        <v>147</v>
      </c>
    </row>
    <row r="17" spans="3:14" s="81" customFormat="1" ht="17.25" customHeight="1">
      <c r="C17" s="341" t="s">
        <v>135</v>
      </c>
      <c r="D17" s="342"/>
      <c r="E17" s="342"/>
      <c r="F17" s="342"/>
      <c r="G17" s="343"/>
      <c r="H17" s="5">
        <v>3</v>
      </c>
      <c r="I17" s="74" t="s">
        <v>208</v>
      </c>
    </row>
    <row r="18" spans="3:14" s="81" customFormat="1" ht="16">
      <c r="C18" s="341" t="s">
        <v>148</v>
      </c>
      <c r="D18" s="342"/>
      <c r="E18" s="342"/>
      <c r="F18" s="342"/>
      <c r="G18" s="343"/>
      <c r="H18" s="4">
        <f>H16*H17</f>
        <v>3000</v>
      </c>
      <c r="I18" s="74" t="s">
        <v>147</v>
      </c>
    </row>
    <row r="19" spans="3:14" s="81" customFormat="1" ht="17.25" customHeight="1">
      <c r="C19" s="341" t="s">
        <v>134</v>
      </c>
      <c r="D19" s="342"/>
      <c r="E19" s="342"/>
      <c r="F19" s="342"/>
      <c r="G19" s="343"/>
      <c r="H19" s="5">
        <v>0.78</v>
      </c>
      <c r="I19" s="74"/>
    </row>
    <row r="20" spans="3:14" s="81" customFormat="1" ht="17" thickBot="1">
      <c r="C20" s="333" t="s">
        <v>149</v>
      </c>
      <c r="D20" s="334"/>
      <c r="E20" s="334"/>
      <c r="F20" s="334"/>
      <c r="G20" s="335"/>
      <c r="H20" s="82">
        <f>H18*H19</f>
        <v>2340</v>
      </c>
      <c r="I20" s="75" t="s">
        <v>147</v>
      </c>
    </row>
    <row r="21" spans="3:14" s="81" customFormat="1" ht="15" thickBot="1">
      <c r="C21" s="57"/>
      <c r="D21" s="57"/>
      <c r="E21" s="57"/>
      <c r="F21" s="57"/>
      <c r="G21" s="57"/>
      <c r="H21" s="57"/>
      <c r="I21" s="57"/>
    </row>
    <row r="22" spans="3:14" s="81" customFormat="1" ht="17.25" customHeight="1" thickBot="1">
      <c r="C22" s="79" t="s">
        <v>133</v>
      </c>
      <c r="D22" s="77"/>
      <c r="E22" s="77"/>
      <c r="F22" s="77"/>
      <c r="G22" s="77"/>
      <c r="H22" s="77"/>
      <c r="I22" s="78"/>
    </row>
    <row r="23" spans="3:14" s="81" customFormat="1" ht="16">
      <c r="C23" s="338" t="s">
        <v>68</v>
      </c>
      <c r="D23" s="339"/>
      <c r="E23" s="339"/>
      <c r="F23" s="339"/>
      <c r="G23" s="340"/>
      <c r="H23" s="47">
        <v>75</v>
      </c>
      <c r="I23" s="73" t="s">
        <v>147</v>
      </c>
    </row>
    <row r="24" spans="3:14" s="81" customFormat="1" ht="16">
      <c r="C24" s="341" t="s">
        <v>36</v>
      </c>
      <c r="D24" s="342"/>
      <c r="E24" s="342"/>
      <c r="F24" s="342"/>
      <c r="G24" s="343"/>
      <c r="H24" s="5">
        <v>25</v>
      </c>
      <c r="I24" s="74" t="s">
        <v>147</v>
      </c>
    </row>
    <row r="25" spans="3:14" s="81" customFormat="1" ht="17" thickBot="1">
      <c r="C25" s="333" t="s">
        <v>61</v>
      </c>
      <c r="D25" s="334"/>
      <c r="E25" s="334"/>
      <c r="F25" s="334"/>
      <c r="G25" s="335"/>
      <c r="H25" s="82">
        <f>H23+H24</f>
        <v>100</v>
      </c>
      <c r="I25" s="75" t="s">
        <v>147</v>
      </c>
      <c r="N25" s="85"/>
    </row>
    <row r="26" spans="3:14" s="81" customFormat="1" ht="15" thickBot="1">
      <c r="C26" s="57"/>
      <c r="D26" s="57"/>
      <c r="E26" s="57"/>
      <c r="F26" s="57"/>
      <c r="G26" s="57"/>
      <c r="H26" s="57"/>
      <c r="I26" s="57"/>
    </row>
    <row r="27" spans="3:14" s="81" customFormat="1" ht="15" customHeight="1" thickBot="1">
      <c r="C27" s="79" t="s">
        <v>170</v>
      </c>
      <c r="D27" s="86"/>
      <c r="E27" s="86"/>
      <c r="F27" s="86"/>
      <c r="G27" s="86"/>
      <c r="H27" s="86"/>
      <c r="I27" s="87"/>
    </row>
    <row r="28" spans="3:14" s="81" customFormat="1" ht="15" customHeight="1">
      <c r="C28" s="338" t="s">
        <v>351</v>
      </c>
      <c r="D28" s="339"/>
      <c r="E28" s="339"/>
      <c r="F28" s="339"/>
      <c r="G28" s="340"/>
      <c r="H28" s="76">
        <f>H30/H29</f>
        <v>40</v>
      </c>
      <c r="I28" s="73" t="s">
        <v>147</v>
      </c>
      <c r="M28" s="85"/>
    </row>
    <row r="29" spans="3:14" s="81" customFormat="1">
      <c r="C29" s="341" t="s">
        <v>202</v>
      </c>
      <c r="D29" s="342"/>
      <c r="E29" s="342"/>
      <c r="F29" s="342"/>
      <c r="G29" s="343"/>
      <c r="H29" s="5">
        <v>50</v>
      </c>
      <c r="I29" s="74" t="s">
        <v>209</v>
      </c>
    </row>
    <row r="30" spans="3:14" s="81" customFormat="1" ht="16">
      <c r="C30" s="341" t="s">
        <v>203</v>
      </c>
      <c r="D30" s="342"/>
      <c r="E30" s="342"/>
      <c r="F30" s="342"/>
      <c r="G30" s="343"/>
      <c r="H30" s="4">
        <v>2000</v>
      </c>
      <c r="I30" s="74" t="s">
        <v>147</v>
      </c>
      <c r="L30" s="85"/>
    </row>
    <row r="31" spans="3:14" s="81" customFormat="1" ht="15" thickBot="1">
      <c r="C31" s="333" t="s">
        <v>135</v>
      </c>
      <c r="D31" s="334"/>
      <c r="E31" s="334"/>
      <c r="F31" s="334"/>
      <c r="G31" s="335"/>
      <c r="H31" s="46">
        <v>2</v>
      </c>
      <c r="I31" s="75" t="s">
        <v>208</v>
      </c>
    </row>
    <row r="32" spans="3:14" s="81" customFormat="1" ht="15" thickBot="1"/>
    <row r="33" spans="3:9" s="81" customFormat="1" ht="15" thickBot="1">
      <c r="C33" s="79" t="s">
        <v>130</v>
      </c>
      <c r="D33" s="77"/>
      <c r="E33" s="77"/>
      <c r="F33" s="77"/>
      <c r="G33" s="77"/>
      <c r="H33" s="77"/>
      <c r="I33" s="78"/>
    </row>
    <row r="34" spans="3:9" s="81" customFormat="1">
      <c r="C34" s="338" t="s">
        <v>132</v>
      </c>
      <c r="D34" s="339"/>
      <c r="E34" s="339"/>
      <c r="F34" s="339"/>
      <c r="G34" s="340"/>
      <c r="H34" s="76">
        <f>ROUNDDOWN((H18/H25),0)</f>
        <v>30</v>
      </c>
      <c r="I34" s="73" t="s">
        <v>209</v>
      </c>
    </row>
    <row r="35" spans="3:9" s="81" customFormat="1" ht="16">
      <c r="C35" s="341" t="s">
        <v>131</v>
      </c>
      <c r="D35" s="342"/>
      <c r="E35" s="342"/>
      <c r="F35" s="342"/>
      <c r="G35" s="343"/>
      <c r="H35" s="4">
        <f>H16</f>
        <v>1000</v>
      </c>
      <c r="I35" s="74" t="s">
        <v>147</v>
      </c>
    </row>
    <row r="36" spans="3:9" s="81" customFormat="1" ht="16">
      <c r="C36" s="341" t="s">
        <v>295</v>
      </c>
      <c r="D36" s="342"/>
      <c r="E36" s="342"/>
      <c r="F36" s="342"/>
      <c r="G36" s="343"/>
      <c r="H36" s="260">
        <f>H9/H34</f>
        <v>83.333333333333329</v>
      </c>
      <c r="I36" s="74" t="s">
        <v>147</v>
      </c>
    </row>
    <row r="37" spans="3:9" s="81" customFormat="1" ht="17" thickBot="1">
      <c r="C37" s="333" t="s">
        <v>296</v>
      </c>
      <c r="D37" s="334"/>
      <c r="E37" s="334"/>
      <c r="F37" s="334"/>
      <c r="G37" s="335"/>
      <c r="H37" s="261">
        <f>H9/H29</f>
        <v>50</v>
      </c>
      <c r="I37" s="75" t="s">
        <v>147</v>
      </c>
    </row>
    <row r="38" spans="3:9" s="81" customFormat="1" ht="15" thickBot="1"/>
    <row r="39" spans="3:9" s="81" customFormat="1" ht="15" thickBot="1">
      <c r="C39" s="305" t="s">
        <v>388</v>
      </c>
      <c r="D39" s="77"/>
      <c r="E39" s="77"/>
      <c r="F39" s="77"/>
      <c r="G39" s="77"/>
      <c r="H39" s="77"/>
      <c r="I39" s="78"/>
    </row>
    <row r="40" spans="3:9" s="81" customFormat="1">
      <c r="C40" s="302" t="s">
        <v>2</v>
      </c>
      <c r="D40" s="303"/>
      <c r="E40" s="303"/>
      <c r="F40" s="303"/>
      <c r="G40" s="304"/>
      <c r="H40" s="48">
        <v>225</v>
      </c>
      <c r="I40" s="73" t="s">
        <v>209</v>
      </c>
    </row>
    <row r="41" spans="3:9" s="81" customFormat="1">
      <c r="C41" s="299" t="s">
        <v>204</v>
      </c>
      <c r="D41" s="300"/>
      <c r="E41" s="300"/>
      <c r="F41" s="300"/>
      <c r="G41" s="301"/>
      <c r="H41" s="300">
        <f>H40+H29</f>
        <v>275</v>
      </c>
      <c r="I41" s="74"/>
    </row>
    <row r="42" spans="3:9" s="81" customFormat="1">
      <c r="C42" s="299" t="s">
        <v>300</v>
      </c>
      <c r="D42" s="300"/>
      <c r="E42" s="300"/>
      <c r="F42" s="300"/>
      <c r="G42" s="301"/>
      <c r="H42" s="300">
        <f>(ROUNDUP(H40/H34,0))</f>
        <v>8</v>
      </c>
      <c r="I42" s="74"/>
    </row>
    <row r="43" spans="3:9" s="81" customFormat="1">
      <c r="C43" s="299" t="s">
        <v>301</v>
      </c>
      <c r="D43" s="300"/>
      <c r="E43" s="300"/>
      <c r="F43" s="300"/>
      <c r="G43" s="301"/>
      <c r="H43" s="61">
        <f>(ROUNDUP((H40*H24/H18),0))</f>
        <v>2</v>
      </c>
      <c r="I43" s="74"/>
    </row>
    <row r="44" spans="3:9" s="81" customFormat="1">
      <c r="C44" s="299" t="s">
        <v>170</v>
      </c>
      <c r="D44" s="300"/>
      <c r="E44" s="300"/>
      <c r="F44" s="300"/>
      <c r="G44" s="301"/>
      <c r="H44" s="61">
        <v>1</v>
      </c>
      <c r="I44" s="74"/>
    </row>
    <row r="45" spans="3:9" s="81" customFormat="1" ht="15" thickBot="1">
      <c r="C45" s="296" t="s">
        <v>205</v>
      </c>
      <c r="D45" s="297"/>
      <c r="E45" s="297"/>
      <c r="F45" s="297"/>
      <c r="G45" s="298"/>
      <c r="H45" s="261">
        <f>(ROUNDUP((H42+H43+H44),0))</f>
        <v>11</v>
      </c>
      <c r="I45" s="75" t="s">
        <v>210</v>
      </c>
    </row>
    <row r="46" spans="3:9" s="81" customFormat="1" ht="15" thickBot="1"/>
    <row r="47" spans="3:9" s="81" customFormat="1">
      <c r="C47" s="68" t="s">
        <v>250</v>
      </c>
      <c r="D47" s="69"/>
      <c r="E47" s="69"/>
      <c r="F47" s="69"/>
      <c r="G47" s="70"/>
      <c r="H47" s="48">
        <v>30</v>
      </c>
      <c r="I47" s="73"/>
    </row>
    <row r="48" spans="3:9" s="81" customFormat="1" ht="15" thickBot="1">
      <c r="C48" s="71" t="s">
        <v>249</v>
      </c>
      <c r="D48" s="54"/>
      <c r="E48" s="54"/>
      <c r="F48" s="54"/>
      <c r="G48" s="72"/>
      <c r="H48" s="91">
        <v>2</v>
      </c>
      <c r="I48" s="75"/>
    </row>
    <row r="49" spans="3:9" s="81" customFormat="1" ht="15" thickBot="1"/>
    <row r="50" spans="3:9" s="81" customFormat="1" ht="15" thickBot="1">
      <c r="C50" s="313" t="s">
        <v>392</v>
      </c>
      <c r="D50" s="314"/>
      <c r="E50" s="314"/>
      <c r="F50" s="314"/>
      <c r="G50" s="315"/>
      <c r="H50" s="314"/>
      <c r="I50" s="316"/>
    </row>
    <row r="51" spans="3:9" s="81" customFormat="1" ht="16">
      <c r="C51" s="338" t="s">
        <v>140</v>
      </c>
      <c r="D51" s="339"/>
      <c r="E51" s="339"/>
      <c r="F51" s="340"/>
      <c r="G51" s="84">
        <f>SUM(G53,G54,G55)</f>
        <v>1</v>
      </c>
      <c r="H51" s="76">
        <f>4300</f>
        <v>4300</v>
      </c>
      <c r="I51" s="73" t="s">
        <v>147</v>
      </c>
    </row>
    <row r="52" spans="3:9" s="81" customFormat="1" ht="16">
      <c r="C52" s="307" t="s">
        <v>393</v>
      </c>
      <c r="D52" s="308"/>
      <c r="E52" s="308"/>
      <c r="F52" s="309"/>
      <c r="G52" s="312">
        <v>0.1</v>
      </c>
      <c r="H52" s="4">
        <f>H51-(H51*G52)</f>
        <v>3870</v>
      </c>
      <c r="I52" s="74" t="s">
        <v>147</v>
      </c>
    </row>
    <row r="53" spans="3:9" s="81" customFormat="1" ht="16">
      <c r="C53" s="341" t="s">
        <v>370</v>
      </c>
      <c r="D53" s="342"/>
      <c r="E53" s="342"/>
      <c r="F53" s="343"/>
      <c r="G53" s="312">
        <v>0.1</v>
      </c>
      <c r="H53" s="4">
        <f>$H$52*G53</f>
        <v>387</v>
      </c>
      <c r="I53" s="74" t="s">
        <v>147</v>
      </c>
    </row>
    <row r="54" spans="3:9" s="81" customFormat="1" ht="16">
      <c r="C54" s="341" t="s">
        <v>60</v>
      </c>
      <c r="D54" s="342"/>
      <c r="E54" s="342"/>
      <c r="F54" s="343"/>
      <c r="G54" s="312">
        <v>0.1</v>
      </c>
      <c r="H54" s="4">
        <f t="shared" ref="H54:H55" si="0">$H$52*G54</f>
        <v>387</v>
      </c>
      <c r="I54" s="74" t="s">
        <v>147</v>
      </c>
    </row>
    <row r="55" spans="3:9" s="81" customFormat="1" ht="16">
      <c r="C55" s="341" t="s">
        <v>139</v>
      </c>
      <c r="D55" s="342"/>
      <c r="E55" s="342"/>
      <c r="F55" s="343"/>
      <c r="G55" s="312">
        <v>0.8</v>
      </c>
      <c r="H55" s="4">
        <f t="shared" si="0"/>
        <v>3096</v>
      </c>
      <c r="I55" s="74" t="s">
        <v>147</v>
      </c>
    </row>
    <row r="56" spans="3:9" s="81" customFormat="1" ht="17" thickBot="1">
      <c r="C56" s="344" t="s">
        <v>138</v>
      </c>
      <c r="D56" s="345"/>
      <c r="E56" s="345"/>
      <c r="F56" s="346"/>
      <c r="G56" s="317">
        <v>0.5</v>
      </c>
      <c r="H56" s="258">
        <f>H55*G56</f>
        <v>1548</v>
      </c>
      <c r="I56" s="259" t="s">
        <v>330</v>
      </c>
    </row>
    <row r="57" spans="3:9" s="81" customFormat="1" ht="15" thickBot="1"/>
    <row r="58" spans="3:9" s="81" customFormat="1" ht="15" thickBot="1">
      <c r="C58" s="336" t="s">
        <v>137</v>
      </c>
      <c r="D58" s="337"/>
      <c r="E58" s="337"/>
      <c r="F58" s="337"/>
      <c r="G58" s="77"/>
      <c r="H58" s="77"/>
      <c r="I58" s="78"/>
    </row>
    <row r="59" spans="3:9" s="81" customFormat="1" ht="16">
      <c r="C59" s="338" t="s">
        <v>136</v>
      </c>
      <c r="D59" s="339"/>
      <c r="E59" s="339"/>
      <c r="F59" s="339"/>
      <c r="G59" s="340"/>
      <c r="H59" s="76">
        <f>H56</f>
        <v>1548</v>
      </c>
      <c r="I59" s="73" t="s">
        <v>147</v>
      </c>
    </row>
    <row r="60" spans="3:9" s="81" customFormat="1">
      <c r="C60" s="341" t="s">
        <v>135</v>
      </c>
      <c r="D60" s="342"/>
      <c r="E60" s="342"/>
      <c r="F60" s="342"/>
      <c r="G60" s="343"/>
      <c r="H60" s="4">
        <v>3</v>
      </c>
      <c r="I60" s="74" t="s">
        <v>208</v>
      </c>
    </row>
    <row r="61" spans="3:9" s="81" customFormat="1" ht="16">
      <c r="C61" s="341" t="s">
        <v>148</v>
      </c>
      <c r="D61" s="342"/>
      <c r="E61" s="342"/>
      <c r="F61" s="342"/>
      <c r="G61" s="343"/>
      <c r="H61" s="4">
        <f>H59*H60</f>
        <v>4644</v>
      </c>
      <c r="I61" s="74" t="s">
        <v>147</v>
      </c>
    </row>
    <row r="62" spans="3:9" s="81" customFormat="1">
      <c r="C62" s="341" t="s">
        <v>134</v>
      </c>
      <c r="D62" s="342"/>
      <c r="E62" s="342"/>
      <c r="F62" s="342"/>
      <c r="G62" s="343"/>
      <c r="H62" s="4">
        <v>0.78</v>
      </c>
      <c r="I62" s="74"/>
    </row>
    <row r="63" spans="3:9" s="81" customFormat="1" ht="17" thickBot="1">
      <c r="C63" s="333" t="s">
        <v>149</v>
      </c>
      <c r="D63" s="334"/>
      <c r="E63" s="334"/>
      <c r="F63" s="334"/>
      <c r="G63" s="335"/>
      <c r="H63" s="261">
        <f>H61*H62</f>
        <v>3622.32</v>
      </c>
      <c r="I63" s="75" t="s">
        <v>147</v>
      </c>
    </row>
    <row r="64" spans="3:9" s="81" customFormat="1"/>
    <row r="65" spans="3:9" s="81" customFormat="1"/>
    <row r="66" spans="3:9" s="81" customFormat="1"/>
    <row r="67" spans="3:9" s="81" customFormat="1">
      <c r="C67" s="53"/>
      <c r="D67" s="308"/>
      <c r="E67" s="308"/>
      <c r="F67" s="308"/>
      <c r="G67" s="308"/>
      <c r="H67" s="126"/>
      <c r="I67" s="126"/>
    </row>
    <row r="68" spans="3:9" s="81" customFormat="1">
      <c r="C68" s="308"/>
      <c r="D68" s="308"/>
      <c r="E68" s="308"/>
      <c r="F68" s="308"/>
      <c r="G68" s="308"/>
      <c r="H68" s="61"/>
      <c r="I68" s="308"/>
    </row>
    <row r="69" spans="3:9" s="81" customFormat="1">
      <c r="C69" s="308"/>
      <c r="D69" s="126"/>
      <c r="E69" s="126"/>
      <c r="F69" s="126"/>
      <c r="G69" s="126"/>
      <c r="H69" s="61"/>
      <c r="I69" s="308"/>
    </row>
    <row r="70" spans="3:9" s="81" customFormat="1">
      <c r="C70" s="308"/>
      <c r="D70" s="308"/>
      <c r="E70" s="308"/>
      <c r="F70" s="308"/>
      <c r="G70" s="308"/>
      <c r="H70" s="61"/>
      <c r="I70" s="308"/>
    </row>
    <row r="71" spans="3:9" s="81" customFormat="1">
      <c r="C71" s="308"/>
      <c r="D71" s="308"/>
      <c r="E71" s="308"/>
      <c r="F71" s="308"/>
      <c r="G71" s="308"/>
      <c r="H71" s="61"/>
      <c r="I71" s="308"/>
    </row>
    <row r="72" spans="3:9" s="81" customFormat="1">
      <c r="C72" s="308"/>
      <c r="D72" s="308"/>
      <c r="E72" s="308"/>
      <c r="F72" s="308"/>
      <c r="G72" s="308"/>
      <c r="H72" s="61"/>
      <c r="I72" s="308"/>
    </row>
    <row r="73" spans="3:9" s="81" customFormat="1">
      <c r="C73" s="308"/>
      <c r="D73" s="308"/>
      <c r="E73" s="308"/>
      <c r="F73" s="308"/>
      <c r="G73" s="308"/>
      <c r="H73" s="61"/>
      <c r="I73" s="308"/>
    </row>
    <row r="74" spans="3:9" s="81" customFormat="1"/>
    <row r="75" spans="3:9" s="81" customFormat="1"/>
    <row r="76" spans="3:9" s="81" customFormat="1"/>
    <row r="77" spans="3:9" s="81" customFormat="1"/>
    <row r="78" spans="3:9" s="81" customFormat="1"/>
    <row r="79" spans="3:9" s="81" customFormat="1"/>
    <row r="80" spans="3:9" s="81" customFormat="1">
      <c r="C80" s="8"/>
    </row>
    <row r="81" spans="3:3" s="81" customFormat="1">
      <c r="C81" s="57"/>
    </row>
    <row r="82" spans="3:3" s="81" customFormat="1"/>
    <row r="83" spans="3:3" s="81" customFormat="1"/>
    <row r="84" spans="3:3" s="81" customFormat="1"/>
    <row r="85" spans="3:3" s="81" customFormat="1"/>
    <row r="86" spans="3:3" s="81" customFormat="1"/>
    <row r="87" spans="3:3" s="81" customFormat="1"/>
    <row r="88" spans="3:3" s="81" customFormat="1"/>
    <row r="89" spans="3:3" s="81" customFormat="1"/>
    <row r="90" spans="3:3" s="81" customFormat="1"/>
    <row r="91" spans="3:3" s="81" customFormat="1"/>
    <row r="92" spans="3:3" s="81" customFormat="1"/>
    <row r="93" spans="3:3" s="81" customFormat="1"/>
    <row r="94" spans="3:3" s="81" customFormat="1"/>
    <row r="95" spans="3:3" s="81" customFormat="1"/>
    <row r="96" spans="3:3" s="81" customFormat="1"/>
    <row r="97" spans="3:9" s="81" customFormat="1"/>
    <row r="98" spans="3:9" s="81" customFormat="1"/>
    <row r="99" spans="3:9" s="81" customFormat="1"/>
    <row r="100" spans="3:9" s="81" customFormat="1"/>
    <row r="101" spans="3:9" s="81" customFormat="1"/>
    <row r="102" spans="3:9" s="81" customFormat="1"/>
    <row r="103" spans="3:9" s="81" customFormat="1"/>
    <row r="104" spans="3:9">
      <c r="C104" s="80"/>
      <c r="D104" s="80"/>
      <c r="E104" s="80"/>
      <c r="F104" s="80"/>
      <c r="G104" s="80"/>
      <c r="H104" s="80"/>
      <c r="I104" s="80"/>
    </row>
    <row r="105" spans="3:9">
      <c r="C105" s="80"/>
      <c r="D105" s="80"/>
      <c r="E105" s="80"/>
      <c r="F105" s="80"/>
      <c r="G105" s="80"/>
      <c r="H105" s="80"/>
      <c r="I105" s="80"/>
    </row>
    <row r="106" spans="3:9">
      <c r="C106" s="80"/>
      <c r="D106" s="80"/>
      <c r="E106" s="80"/>
      <c r="F106" s="80"/>
      <c r="G106" s="80"/>
      <c r="H106" s="80"/>
      <c r="I106" s="80"/>
    </row>
    <row r="107" spans="3:9">
      <c r="C107" s="80"/>
      <c r="D107" s="80"/>
      <c r="E107" s="80"/>
      <c r="F107" s="80"/>
      <c r="G107" s="80"/>
      <c r="H107" s="80"/>
      <c r="I107" s="80"/>
    </row>
    <row r="108" spans="3:9">
      <c r="C108" s="80"/>
      <c r="D108" s="80"/>
      <c r="E108" s="80"/>
      <c r="F108" s="80"/>
      <c r="G108" s="80"/>
      <c r="H108" s="80"/>
      <c r="I108" s="80"/>
    </row>
    <row r="109" spans="3:9">
      <c r="C109" s="80"/>
      <c r="D109" s="80"/>
      <c r="E109" s="80"/>
      <c r="F109" s="80"/>
      <c r="G109" s="80"/>
      <c r="H109" s="80"/>
      <c r="I109" s="80"/>
    </row>
    <row r="110" spans="3:9">
      <c r="C110" s="80"/>
      <c r="D110" s="80"/>
      <c r="E110" s="80"/>
      <c r="F110" s="80"/>
      <c r="G110" s="80"/>
      <c r="H110" s="80"/>
      <c r="I110" s="80"/>
    </row>
    <row r="111" spans="3:9">
      <c r="C111" s="80"/>
      <c r="D111" s="80"/>
      <c r="E111" s="80"/>
      <c r="F111" s="80"/>
      <c r="G111" s="80"/>
      <c r="H111" s="80"/>
      <c r="I111" s="80"/>
    </row>
    <row r="112" spans="3:9">
      <c r="C112" s="80"/>
      <c r="D112" s="80"/>
      <c r="E112" s="80"/>
      <c r="F112" s="80"/>
      <c r="G112" s="80"/>
      <c r="H112" s="80"/>
      <c r="I112" s="80"/>
    </row>
    <row r="113" spans="3:9">
      <c r="C113" s="80"/>
      <c r="D113" s="80"/>
      <c r="E113" s="80"/>
      <c r="F113" s="80"/>
      <c r="G113" s="80"/>
      <c r="H113" s="80"/>
      <c r="I113" s="80"/>
    </row>
    <row r="114" spans="3:9">
      <c r="C114" s="80"/>
      <c r="D114" s="80"/>
      <c r="E114" s="80"/>
      <c r="F114" s="80"/>
      <c r="G114" s="80"/>
      <c r="H114" s="80"/>
      <c r="I114" s="80"/>
    </row>
    <row r="115" spans="3:9">
      <c r="C115" s="80"/>
      <c r="D115" s="80"/>
      <c r="E115" s="80"/>
      <c r="F115" s="80"/>
      <c r="G115" s="80"/>
      <c r="H115" s="80"/>
      <c r="I115" s="80"/>
    </row>
    <row r="116" spans="3:9">
      <c r="C116" s="80"/>
      <c r="D116" s="80"/>
      <c r="E116" s="80"/>
      <c r="F116" s="80"/>
      <c r="G116" s="80"/>
      <c r="H116" s="80"/>
      <c r="I116" s="80"/>
    </row>
    <row r="117" spans="3:9">
      <c r="C117" s="80"/>
      <c r="D117" s="80"/>
      <c r="E117" s="80"/>
      <c r="F117" s="80"/>
      <c r="G117" s="80"/>
      <c r="H117" s="80"/>
      <c r="I117" s="80"/>
    </row>
    <row r="118" spans="3:9">
      <c r="C118" s="80"/>
      <c r="D118" s="80"/>
      <c r="E118" s="80"/>
      <c r="F118" s="80"/>
      <c r="G118" s="80"/>
      <c r="H118" s="80"/>
      <c r="I118" s="80"/>
    </row>
    <row r="119" spans="3:9">
      <c r="C119" s="80"/>
      <c r="D119" s="80"/>
      <c r="E119" s="80"/>
      <c r="F119" s="80"/>
      <c r="G119" s="80"/>
      <c r="H119" s="80"/>
      <c r="I119" s="80"/>
    </row>
    <row r="120" spans="3:9">
      <c r="C120" s="80"/>
      <c r="D120" s="80"/>
      <c r="E120" s="80"/>
      <c r="F120" s="80"/>
      <c r="G120" s="80"/>
      <c r="H120" s="80"/>
      <c r="I120" s="80"/>
    </row>
    <row r="121" spans="3:9">
      <c r="C121" s="80"/>
      <c r="D121" s="80"/>
      <c r="E121" s="80"/>
      <c r="F121" s="80"/>
      <c r="G121" s="80"/>
      <c r="H121" s="80"/>
      <c r="I121" s="80"/>
    </row>
    <row r="122" spans="3:9">
      <c r="C122" s="80"/>
      <c r="D122" s="80"/>
      <c r="E122" s="80"/>
      <c r="F122" s="80"/>
      <c r="G122" s="80"/>
      <c r="H122" s="80"/>
      <c r="I122" s="80"/>
    </row>
    <row r="123" spans="3:9">
      <c r="C123" s="80"/>
      <c r="D123" s="80"/>
      <c r="E123" s="80"/>
      <c r="F123" s="80"/>
      <c r="G123" s="80"/>
      <c r="H123" s="80"/>
      <c r="I123" s="80"/>
    </row>
    <row r="124" spans="3:9">
      <c r="C124" s="80"/>
      <c r="D124" s="80"/>
      <c r="E124" s="80"/>
      <c r="F124" s="80"/>
      <c r="G124" s="80"/>
      <c r="H124" s="80"/>
      <c r="I124" s="80"/>
    </row>
    <row r="125" spans="3:9">
      <c r="C125" s="80"/>
      <c r="D125" s="80"/>
      <c r="E125" s="80"/>
      <c r="F125" s="80"/>
      <c r="G125" s="80"/>
      <c r="H125" s="80"/>
      <c r="I125" s="80"/>
    </row>
    <row r="126" spans="3:9">
      <c r="C126" s="80"/>
      <c r="D126" s="80"/>
      <c r="E126" s="80"/>
      <c r="F126" s="80"/>
      <c r="G126" s="80"/>
      <c r="H126" s="80"/>
      <c r="I126" s="80"/>
    </row>
    <row r="127" spans="3:9">
      <c r="C127" s="80"/>
      <c r="D127" s="80"/>
      <c r="E127" s="80"/>
      <c r="F127" s="80"/>
      <c r="G127" s="80"/>
      <c r="H127" s="80"/>
      <c r="I127" s="80"/>
    </row>
    <row r="128" spans="3:9">
      <c r="C128" s="80"/>
      <c r="D128" s="80"/>
      <c r="E128" s="80"/>
      <c r="F128" s="80"/>
      <c r="G128" s="80"/>
      <c r="H128" s="80"/>
      <c r="I128" s="80"/>
    </row>
    <row r="129" spans="3:9">
      <c r="C129" s="80"/>
      <c r="D129" s="80"/>
      <c r="E129" s="80"/>
      <c r="F129" s="80"/>
      <c r="G129" s="80"/>
      <c r="H129" s="80"/>
      <c r="I129" s="80"/>
    </row>
    <row r="130" spans="3:9">
      <c r="C130" s="80"/>
      <c r="D130" s="80"/>
      <c r="E130" s="80"/>
      <c r="F130" s="80"/>
      <c r="G130" s="80"/>
      <c r="H130" s="80"/>
      <c r="I130" s="80"/>
    </row>
    <row r="131" spans="3:9">
      <c r="C131" s="80"/>
      <c r="D131" s="80"/>
      <c r="E131" s="80"/>
      <c r="F131" s="80"/>
      <c r="G131" s="80"/>
      <c r="H131" s="80"/>
      <c r="I131" s="80"/>
    </row>
    <row r="132" spans="3:9">
      <c r="C132" s="80"/>
      <c r="D132" s="80"/>
      <c r="E132" s="80"/>
      <c r="F132" s="80"/>
      <c r="G132" s="80"/>
      <c r="H132" s="80"/>
      <c r="I132" s="80"/>
    </row>
    <row r="133" spans="3:9">
      <c r="C133" s="80"/>
      <c r="D133" s="80"/>
      <c r="E133" s="80"/>
      <c r="F133" s="80"/>
      <c r="G133" s="80"/>
      <c r="H133" s="80"/>
      <c r="I133" s="80"/>
    </row>
    <row r="134" spans="3:9">
      <c r="C134" s="80"/>
      <c r="D134" s="80"/>
      <c r="E134" s="80"/>
      <c r="F134" s="80"/>
      <c r="G134" s="80"/>
      <c r="H134" s="80"/>
      <c r="I134" s="80"/>
    </row>
    <row r="135" spans="3:9">
      <c r="C135" s="80"/>
      <c r="D135" s="80"/>
      <c r="E135" s="80"/>
      <c r="F135" s="80"/>
      <c r="G135" s="80"/>
      <c r="H135" s="80"/>
      <c r="I135" s="80"/>
    </row>
    <row r="136" spans="3:9">
      <c r="C136" s="80"/>
      <c r="D136" s="80"/>
      <c r="E136" s="80"/>
      <c r="F136" s="80"/>
      <c r="G136" s="80"/>
      <c r="H136" s="80"/>
      <c r="I136" s="80"/>
    </row>
    <row r="137" spans="3:9">
      <c r="C137" s="80"/>
      <c r="D137" s="80"/>
      <c r="E137" s="80"/>
      <c r="F137" s="80"/>
      <c r="G137" s="80"/>
      <c r="H137" s="80"/>
      <c r="I137" s="80"/>
    </row>
    <row r="138" spans="3:9">
      <c r="C138" s="80"/>
      <c r="D138" s="80"/>
      <c r="E138" s="80"/>
      <c r="F138" s="80"/>
      <c r="G138" s="80"/>
      <c r="H138" s="80"/>
      <c r="I138" s="80"/>
    </row>
    <row r="139" spans="3:9">
      <c r="C139" s="80"/>
      <c r="D139" s="80"/>
      <c r="E139" s="80"/>
      <c r="F139" s="80"/>
      <c r="G139" s="80"/>
      <c r="H139" s="80"/>
      <c r="I139" s="80"/>
    </row>
    <row r="140" spans="3:9">
      <c r="C140" s="80"/>
      <c r="D140" s="80"/>
      <c r="E140" s="80"/>
      <c r="F140" s="80"/>
      <c r="G140" s="80"/>
      <c r="H140" s="80"/>
      <c r="I140" s="80"/>
    </row>
    <row r="141" spans="3:9">
      <c r="C141" s="80"/>
      <c r="D141" s="80"/>
      <c r="E141" s="80"/>
      <c r="F141" s="80"/>
      <c r="G141" s="80"/>
      <c r="H141" s="80"/>
      <c r="I141" s="80"/>
    </row>
    <row r="142" spans="3:9">
      <c r="C142" s="80"/>
      <c r="D142" s="80"/>
      <c r="E142" s="80"/>
      <c r="F142" s="80"/>
      <c r="G142" s="80"/>
      <c r="H142" s="80"/>
      <c r="I142" s="80"/>
    </row>
    <row r="143" spans="3:9">
      <c r="C143" s="80"/>
      <c r="D143" s="80"/>
      <c r="E143" s="80"/>
      <c r="F143" s="80"/>
      <c r="G143" s="80"/>
      <c r="H143" s="80"/>
      <c r="I143" s="80"/>
    </row>
    <row r="144" spans="3:9">
      <c r="C144" s="80"/>
      <c r="D144" s="80"/>
      <c r="E144" s="80"/>
      <c r="F144" s="80"/>
      <c r="G144" s="80"/>
      <c r="H144" s="80"/>
      <c r="I144" s="80"/>
    </row>
    <row r="145" spans="3:9">
      <c r="C145" s="80"/>
      <c r="D145" s="80"/>
      <c r="E145" s="80"/>
      <c r="F145" s="80"/>
      <c r="G145" s="80"/>
      <c r="H145" s="80"/>
      <c r="I145" s="80"/>
    </row>
    <row r="146" spans="3:9">
      <c r="C146" s="80"/>
      <c r="D146" s="80"/>
      <c r="E146" s="80"/>
      <c r="F146" s="80"/>
      <c r="G146" s="80"/>
      <c r="H146" s="80"/>
      <c r="I146" s="80"/>
    </row>
    <row r="147" spans="3:9">
      <c r="C147" s="80"/>
      <c r="D147" s="80"/>
      <c r="E147" s="80"/>
      <c r="F147" s="80"/>
      <c r="G147" s="80"/>
      <c r="H147" s="80"/>
      <c r="I147" s="80"/>
    </row>
    <row r="148" spans="3:9">
      <c r="C148" s="80"/>
      <c r="D148" s="80"/>
      <c r="E148" s="80"/>
      <c r="F148" s="80"/>
      <c r="G148" s="80"/>
      <c r="H148" s="80"/>
      <c r="I148" s="80"/>
    </row>
    <row r="149" spans="3:9">
      <c r="C149" s="80"/>
      <c r="D149" s="80"/>
      <c r="E149" s="80"/>
      <c r="F149" s="80"/>
      <c r="G149" s="80"/>
      <c r="H149" s="80"/>
      <c r="I149" s="80"/>
    </row>
    <row r="150" spans="3:9">
      <c r="C150" s="80"/>
      <c r="D150" s="80"/>
      <c r="E150" s="80"/>
      <c r="F150" s="80"/>
      <c r="G150" s="80"/>
      <c r="H150" s="80"/>
      <c r="I150" s="80"/>
    </row>
    <row r="151" spans="3:9">
      <c r="C151" s="80"/>
      <c r="D151" s="80"/>
      <c r="E151" s="80"/>
      <c r="F151" s="80"/>
      <c r="G151" s="80"/>
      <c r="H151" s="80"/>
      <c r="I151" s="80"/>
    </row>
    <row r="152" spans="3:9">
      <c r="C152" s="80"/>
      <c r="D152" s="80"/>
      <c r="E152" s="80"/>
      <c r="F152" s="80"/>
      <c r="G152" s="80"/>
      <c r="H152" s="80"/>
      <c r="I152" s="80"/>
    </row>
    <row r="153" spans="3:9">
      <c r="C153" s="80"/>
      <c r="D153" s="80"/>
      <c r="E153" s="80"/>
      <c r="F153" s="80"/>
      <c r="G153" s="80"/>
      <c r="H153" s="80"/>
      <c r="I153" s="80"/>
    </row>
    <row r="154" spans="3:9">
      <c r="C154" s="80"/>
      <c r="D154" s="80"/>
      <c r="E154" s="80"/>
      <c r="F154" s="80"/>
      <c r="G154" s="80"/>
      <c r="H154" s="80"/>
      <c r="I154" s="80"/>
    </row>
    <row r="155" spans="3:9">
      <c r="C155" s="80"/>
      <c r="D155" s="80"/>
      <c r="E155" s="80"/>
      <c r="F155" s="80"/>
      <c r="G155" s="80"/>
      <c r="H155" s="80"/>
      <c r="I155" s="80"/>
    </row>
    <row r="156" spans="3:9">
      <c r="C156" s="80"/>
      <c r="D156" s="80"/>
      <c r="E156" s="80"/>
      <c r="F156" s="80"/>
      <c r="G156" s="80"/>
      <c r="H156" s="80"/>
      <c r="I156" s="80"/>
    </row>
    <row r="157" spans="3:9">
      <c r="C157" s="80"/>
      <c r="D157" s="80"/>
      <c r="E157" s="80"/>
      <c r="F157" s="80"/>
      <c r="G157" s="80"/>
      <c r="H157" s="80"/>
      <c r="I157" s="80"/>
    </row>
    <row r="158" spans="3:9">
      <c r="C158" s="80"/>
      <c r="D158" s="80"/>
      <c r="E158" s="80"/>
      <c r="F158" s="80"/>
      <c r="G158" s="80"/>
      <c r="H158" s="80"/>
      <c r="I158" s="80"/>
    </row>
    <row r="159" spans="3:9">
      <c r="C159" s="80"/>
      <c r="D159" s="80"/>
      <c r="E159" s="80"/>
      <c r="F159" s="80"/>
      <c r="G159" s="80"/>
      <c r="H159" s="80"/>
      <c r="I159" s="80"/>
    </row>
    <row r="160" spans="3:9">
      <c r="C160" s="80"/>
      <c r="D160" s="80"/>
      <c r="E160" s="80"/>
      <c r="F160" s="80"/>
      <c r="G160" s="80"/>
      <c r="H160" s="80"/>
      <c r="I160" s="80"/>
    </row>
    <row r="161" spans="3:9">
      <c r="C161" s="80"/>
      <c r="D161" s="80"/>
      <c r="E161" s="80"/>
      <c r="F161" s="80"/>
      <c r="G161" s="80"/>
      <c r="H161" s="80"/>
      <c r="I161" s="80"/>
    </row>
    <row r="162" spans="3:9">
      <c r="C162" s="80"/>
      <c r="D162" s="80"/>
      <c r="E162" s="80"/>
      <c r="F162" s="80"/>
      <c r="G162" s="80"/>
      <c r="H162" s="80"/>
      <c r="I162" s="80"/>
    </row>
    <row r="163" spans="3:9">
      <c r="C163" s="80"/>
      <c r="D163" s="80"/>
      <c r="E163" s="80"/>
      <c r="F163" s="80"/>
      <c r="G163" s="80"/>
      <c r="H163" s="80"/>
      <c r="I163" s="80"/>
    </row>
    <row r="164" spans="3:9">
      <c r="C164" s="80"/>
      <c r="D164" s="80"/>
      <c r="E164" s="80"/>
      <c r="F164" s="80"/>
      <c r="G164" s="80"/>
      <c r="H164" s="80"/>
      <c r="I164" s="80"/>
    </row>
    <row r="165" spans="3:9">
      <c r="C165" s="80"/>
      <c r="D165" s="80"/>
      <c r="E165" s="80"/>
      <c r="F165" s="80"/>
      <c r="G165" s="80"/>
      <c r="H165" s="80"/>
      <c r="I165" s="80"/>
    </row>
    <row r="166" spans="3:9">
      <c r="C166" s="80"/>
      <c r="D166" s="80"/>
      <c r="E166" s="80"/>
      <c r="F166" s="80"/>
      <c r="G166" s="80"/>
      <c r="H166" s="80"/>
      <c r="I166" s="80"/>
    </row>
    <row r="167" spans="3:9">
      <c r="C167" s="80"/>
      <c r="D167" s="80"/>
      <c r="E167" s="80"/>
      <c r="F167" s="80"/>
      <c r="G167" s="80"/>
      <c r="H167" s="80"/>
      <c r="I167" s="80"/>
    </row>
    <row r="168" spans="3:9">
      <c r="C168" s="80"/>
      <c r="D168" s="80"/>
      <c r="E168" s="80"/>
      <c r="F168" s="80"/>
      <c r="G168" s="80"/>
      <c r="H168" s="80"/>
      <c r="I168" s="80"/>
    </row>
    <row r="169" spans="3:9">
      <c r="C169" s="80"/>
      <c r="D169" s="80"/>
      <c r="E169" s="80"/>
      <c r="F169" s="80"/>
      <c r="G169" s="80"/>
      <c r="H169" s="80"/>
      <c r="I169" s="80"/>
    </row>
    <row r="170" spans="3:9">
      <c r="C170" s="80"/>
      <c r="D170" s="80"/>
      <c r="E170" s="80"/>
      <c r="F170" s="80"/>
      <c r="G170" s="80"/>
      <c r="H170" s="80"/>
      <c r="I170" s="80"/>
    </row>
    <row r="171" spans="3:9">
      <c r="C171" s="80"/>
      <c r="D171" s="80"/>
      <c r="E171" s="80"/>
      <c r="F171" s="80"/>
      <c r="G171" s="80"/>
      <c r="H171" s="80"/>
      <c r="I171" s="80"/>
    </row>
    <row r="172" spans="3:9">
      <c r="C172" s="80"/>
      <c r="D172" s="80"/>
      <c r="E172" s="80"/>
      <c r="F172" s="80"/>
      <c r="G172" s="80"/>
      <c r="H172" s="80"/>
      <c r="I172" s="80"/>
    </row>
    <row r="173" spans="3:9">
      <c r="C173" s="80"/>
      <c r="D173" s="80"/>
      <c r="E173" s="80"/>
      <c r="F173" s="80"/>
      <c r="G173" s="80"/>
      <c r="H173" s="80"/>
      <c r="I173" s="80"/>
    </row>
    <row r="174" spans="3:9">
      <c r="C174" s="80"/>
      <c r="D174" s="80"/>
      <c r="E174" s="80"/>
      <c r="F174" s="80"/>
      <c r="G174" s="80"/>
      <c r="H174" s="80"/>
      <c r="I174" s="80"/>
    </row>
    <row r="175" spans="3:9">
      <c r="C175" s="80"/>
      <c r="D175" s="80"/>
      <c r="E175" s="80"/>
      <c r="F175" s="80"/>
      <c r="G175" s="80"/>
      <c r="H175" s="80"/>
      <c r="I175" s="80"/>
    </row>
    <row r="176" spans="3:9">
      <c r="C176" s="80"/>
      <c r="D176" s="80"/>
      <c r="E176" s="80"/>
      <c r="F176" s="80"/>
      <c r="G176" s="80"/>
      <c r="H176" s="80"/>
      <c r="I176" s="80"/>
    </row>
    <row r="177" spans="3:9">
      <c r="C177" s="80"/>
      <c r="D177" s="80"/>
      <c r="E177" s="80"/>
      <c r="F177" s="80"/>
      <c r="G177" s="80"/>
      <c r="H177" s="80"/>
      <c r="I177" s="80"/>
    </row>
    <row r="178" spans="3:9">
      <c r="C178" s="80"/>
      <c r="D178" s="80"/>
      <c r="E178" s="80"/>
      <c r="F178" s="80"/>
      <c r="G178" s="80"/>
      <c r="H178" s="80"/>
      <c r="I178" s="80"/>
    </row>
    <row r="179" spans="3:9">
      <c r="C179" s="80"/>
      <c r="D179" s="80"/>
      <c r="E179" s="80"/>
      <c r="F179" s="80"/>
      <c r="G179" s="80"/>
      <c r="H179" s="80"/>
      <c r="I179" s="80"/>
    </row>
    <row r="180" spans="3:9">
      <c r="C180" s="80"/>
      <c r="D180" s="80"/>
      <c r="E180" s="80"/>
      <c r="F180" s="80"/>
      <c r="G180" s="80"/>
      <c r="H180" s="80"/>
      <c r="I180" s="80"/>
    </row>
    <row r="181" spans="3:9">
      <c r="C181" s="80"/>
      <c r="D181" s="80"/>
      <c r="E181" s="80"/>
      <c r="F181" s="80"/>
      <c r="G181" s="80"/>
      <c r="H181" s="80"/>
      <c r="I181" s="80"/>
    </row>
    <row r="182" spans="3:9">
      <c r="C182" s="80"/>
      <c r="D182" s="80"/>
      <c r="E182" s="80"/>
      <c r="F182" s="80"/>
      <c r="G182" s="80"/>
      <c r="H182" s="80"/>
      <c r="I182" s="80"/>
    </row>
    <row r="183" spans="3:9">
      <c r="C183" s="80"/>
      <c r="D183" s="80"/>
      <c r="E183" s="80"/>
      <c r="F183" s="80"/>
      <c r="G183" s="80"/>
      <c r="H183" s="80"/>
      <c r="I183" s="80"/>
    </row>
    <row r="184" spans="3:9">
      <c r="C184" s="80"/>
      <c r="D184" s="80"/>
      <c r="E184" s="80"/>
      <c r="F184" s="80"/>
      <c r="G184" s="80"/>
      <c r="H184" s="80"/>
      <c r="I184" s="80"/>
    </row>
    <row r="185" spans="3:9">
      <c r="C185" s="80"/>
      <c r="D185" s="80"/>
      <c r="E185" s="80"/>
      <c r="F185" s="80"/>
      <c r="G185" s="80"/>
      <c r="H185" s="80"/>
      <c r="I185" s="80"/>
    </row>
    <row r="186" spans="3:9">
      <c r="C186" s="80"/>
      <c r="D186" s="80"/>
      <c r="E186" s="80"/>
      <c r="F186" s="80"/>
      <c r="G186" s="80"/>
      <c r="H186" s="80"/>
      <c r="I186" s="80"/>
    </row>
    <row r="187" spans="3:9">
      <c r="C187" s="80"/>
      <c r="D187" s="80"/>
      <c r="E187" s="80"/>
      <c r="F187" s="80"/>
      <c r="G187" s="80"/>
      <c r="H187" s="80"/>
      <c r="I187" s="80"/>
    </row>
    <row r="188" spans="3:9">
      <c r="C188" s="80"/>
      <c r="D188" s="80"/>
      <c r="E188" s="80"/>
      <c r="F188" s="80"/>
      <c r="G188" s="80"/>
      <c r="H188" s="80"/>
      <c r="I188" s="80"/>
    </row>
    <row r="189" spans="3:9">
      <c r="C189" s="80"/>
      <c r="D189" s="80"/>
      <c r="E189" s="80"/>
      <c r="F189" s="80"/>
      <c r="G189" s="80"/>
      <c r="H189" s="80"/>
      <c r="I189" s="80"/>
    </row>
    <row r="190" spans="3:9">
      <c r="C190" s="80"/>
      <c r="D190" s="80"/>
      <c r="E190" s="80"/>
      <c r="F190" s="80"/>
      <c r="G190" s="80"/>
      <c r="H190" s="80"/>
      <c r="I190" s="80"/>
    </row>
    <row r="191" spans="3:9">
      <c r="C191" s="80"/>
      <c r="D191" s="80"/>
      <c r="E191" s="80"/>
      <c r="F191" s="80"/>
      <c r="G191" s="80"/>
      <c r="H191" s="80"/>
      <c r="I191" s="80"/>
    </row>
    <row r="192" spans="3:9">
      <c r="C192" s="80"/>
      <c r="D192" s="80"/>
      <c r="E192" s="80"/>
      <c r="F192" s="80"/>
      <c r="G192" s="80"/>
      <c r="H192" s="80"/>
      <c r="I192" s="80"/>
    </row>
    <row r="193" spans="3:9">
      <c r="C193" s="80"/>
      <c r="D193" s="80"/>
      <c r="E193" s="80"/>
      <c r="F193" s="80"/>
      <c r="G193" s="80"/>
      <c r="H193" s="80"/>
      <c r="I193" s="80"/>
    </row>
    <row r="194" spans="3:9">
      <c r="C194" s="80"/>
      <c r="D194" s="80"/>
      <c r="E194" s="80"/>
      <c r="F194" s="80"/>
      <c r="G194" s="80"/>
      <c r="H194" s="80"/>
      <c r="I194" s="80"/>
    </row>
    <row r="195" spans="3:9">
      <c r="C195" s="80"/>
      <c r="D195" s="80"/>
      <c r="E195" s="80"/>
      <c r="F195" s="80"/>
      <c r="G195" s="80"/>
      <c r="H195" s="80"/>
      <c r="I195" s="80"/>
    </row>
    <row r="196" spans="3:9">
      <c r="C196" s="80"/>
      <c r="D196" s="80"/>
      <c r="E196" s="80"/>
      <c r="F196" s="80"/>
      <c r="G196" s="80"/>
      <c r="H196" s="80"/>
      <c r="I196" s="80"/>
    </row>
    <row r="197" spans="3:9">
      <c r="C197" s="80"/>
      <c r="D197" s="80"/>
      <c r="E197" s="80"/>
      <c r="F197" s="80"/>
      <c r="G197" s="80"/>
      <c r="H197" s="80"/>
      <c r="I197" s="80"/>
    </row>
    <row r="198" spans="3:9">
      <c r="C198" s="80"/>
      <c r="D198" s="80"/>
      <c r="E198" s="80"/>
      <c r="F198" s="80"/>
      <c r="G198" s="80"/>
      <c r="H198" s="80"/>
      <c r="I198" s="80"/>
    </row>
    <row r="199" spans="3:9">
      <c r="C199" s="80"/>
      <c r="D199" s="80"/>
      <c r="E199" s="80"/>
      <c r="F199" s="80"/>
      <c r="G199" s="80"/>
      <c r="H199" s="80"/>
      <c r="I199" s="80"/>
    </row>
    <row r="200" spans="3:9">
      <c r="C200" s="80"/>
      <c r="D200" s="80"/>
      <c r="E200" s="80"/>
      <c r="F200" s="80"/>
      <c r="G200" s="80"/>
      <c r="H200" s="80"/>
      <c r="I200" s="80"/>
    </row>
    <row r="201" spans="3:9">
      <c r="C201" s="80"/>
      <c r="D201" s="80"/>
      <c r="E201" s="80"/>
      <c r="F201" s="80"/>
      <c r="G201" s="80"/>
      <c r="H201" s="80"/>
      <c r="I201" s="80"/>
    </row>
    <row r="202" spans="3:9">
      <c r="C202" s="80"/>
      <c r="D202" s="80"/>
      <c r="E202" s="80"/>
      <c r="F202" s="80"/>
      <c r="G202" s="80"/>
      <c r="H202" s="80"/>
      <c r="I202" s="80"/>
    </row>
    <row r="203" spans="3:9">
      <c r="C203" s="80"/>
      <c r="D203" s="80"/>
      <c r="E203" s="80"/>
      <c r="F203" s="80"/>
      <c r="G203" s="80"/>
      <c r="H203" s="80"/>
      <c r="I203" s="80"/>
    </row>
    <row r="204" spans="3:9">
      <c r="C204" s="80"/>
      <c r="D204" s="80"/>
      <c r="E204" s="80"/>
      <c r="F204" s="80"/>
      <c r="G204" s="80"/>
      <c r="H204" s="80"/>
      <c r="I204" s="80"/>
    </row>
    <row r="205" spans="3:9">
      <c r="C205" s="80"/>
      <c r="D205" s="80"/>
      <c r="E205" s="80"/>
      <c r="F205" s="80"/>
      <c r="G205" s="80"/>
      <c r="H205" s="80"/>
      <c r="I205" s="80"/>
    </row>
    <row r="206" spans="3:9">
      <c r="C206" s="80"/>
      <c r="D206" s="80"/>
      <c r="E206" s="80"/>
      <c r="F206" s="80"/>
      <c r="G206" s="80"/>
      <c r="H206" s="80"/>
      <c r="I206" s="80"/>
    </row>
    <row r="207" spans="3:9">
      <c r="C207" s="80"/>
      <c r="D207" s="80"/>
      <c r="E207" s="80"/>
      <c r="F207" s="80"/>
      <c r="G207" s="80"/>
      <c r="H207" s="80"/>
      <c r="I207" s="80"/>
    </row>
    <row r="208" spans="3:9">
      <c r="C208" s="80"/>
      <c r="D208" s="80"/>
      <c r="E208" s="80"/>
      <c r="F208" s="80"/>
      <c r="G208" s="80"/>
      <c r="H208" s="80"/>
      <c r="I208" s="80"/>
    </row>
    <row r="209" spans="3:9">
      <c r="C209" s="80"/>
      <c r="D209" s="80"/>
      <c r="E209" s="80"/>
      <c r="F209" s="80"/>
      <c r="G209" s="80"/>
      <c r="H209" s="80"/>
      <c r="I209" s="80"/>
    </row>
    <row r="210" spans="3:9">
      <c r="C210" s="80"/>
      <c r="D210" s="80"/>
      <c r="E210" s="80"/>
      <c r="F210" s="80"/>
      <c r="G210" s="80"/>
      <c r="H210" s="80"/>
      <c r="I210" s="80"/>
    </row>
    <row r="211" spans="3:9">
      <c r="C211" s="80"/>
      <c r="D211" s="80"/>
      <c r="E211" s="80"/>
      <c r="F211" s="80"/>
      <c r="G211" s="80"/>
      <c r="H211" s="80"/>
      <c r="I211" s="80"/>
    </row>
    <row r="212" spans="3:9">
      <c r="C212" s="80"/>
      <c r="D212" s="80"/>
      <c r="E212" s="80"/>
      <c r="F212" s="80"/>
      <c r="G212" s="80"/>
      <c r="H212" s="80"/>
      <c r="I212" s="80"/>
    </row>
    <row r="213" spans="3:9">
      <c r="C213" s="80"/>
      <c r="D213" s="80"/>
      <c r="E213" s="80"/>
      <c r="F213" s="80"/>
      <c r="G213" s="80"/>
      <c r="H213" s="80"/>
      <c r="I213" s="80"/>
    </row>
    <row r="214" spans="3:9">
      <c r="C214" s="80"/>
      <c r="D214" s="80"/>
      <c r="E214" s="80"/>
      <c r="F214" s="80"/>
      <c r="G214" s="80"/>
      <c r="H214" s="80"/>
      <c r="I214" s="80"/>
    </row>
    <row r="215" spans="3:9">
      <c r="C215" s="80"/>
      <c r="D215" s="80"/>
      <c r="E215" s="80"/>
      <c r="F215" s="80"/>
      <c r="G215" s="80"/>
      <c r="H215" s="80"/>
      <c r="I215" s="80"/>
    </row>
    <row r="216" spans="3:9">
      <c r="C216" s="80"/>
      <c r="D216" s="80"/>
      <c r="E216" s="80"/>
      <c r="F216" s="80"/>
      <c r="G216" s="80"/>
      <c r="H216" s="80"/>
      <c r="I216" s="80"/>
    </row>
    <row r="217" spans="3:9">
      <c r="C217" s="80"/>
      <c r="D217" s="80"/>
      <c r="E217" s="80"/>
      <c r="F217" s="80"/>
      <c r="G217" s="80"/>
      <c r="H217" s="80"/>
      <c r="I217" s="80"/>
    </row>
    <row r="218" spans="3:9">
      <c r="C218" s="80"/>
      <c r="D218" s="80"/>
      <c r="E218" s="80"/>
      <c r="F218" s="80"/>
      <c r="G218" s="80"/>
      <c r="H218" s="80"/>
      <c r="I218" s="80"/>
    </row>
    <row r="219" spans="3:9">
      <c r="C219" s="80"/>
      <c r="D219" s="80"/>
      <c r="E219" s="80"/>
      <c r="F219" s="80"/>
      <c r="G219" s="80"/>
      <c r="H219" s="80"/>
      <c r="I219" s="80"/>
    </row>
    <row r="220" spans="3:9">
      <c r="C220" s="80"/>
      <c r="D220" s="80"/>
      <c r="E220" s="80"/>
      <c r="F220" s="80"/>
      <c r="G220" s="80"/>
      <c r="H220" s="80"/>
      <c r="I220" s="80"/>
    </row>
    <row r="221" spans="3:9">
      <c r="C221" s="80"/>
      <c r="D221" s="80"/>
      <c r="E221" s="80"/>
      <c r="F221" s="80"/>
      <c r="G221" s="80"/>
      <c r="H221" s="80"/>
      <c r="I221" s="80"/>
    </row>
    <row r="222" spans="3:9">
      <c r="C222" s="80"/>
      <c r="D222" s="80"/>
      <c r="E222" s="80"/>
      <c r="F222" s="80"/>
      <c r="G222" s="80"/>
      <c r="H222" s="80"/>
      <c r="I222" s="80"/>
    </row>
    <row r="223" spans="3:9">
      <c r="C223" s="80"/>
      <c r="D223" s="80"/>
      <c r="E223" s="80"/>
      <c r="F223" s="80"/>
      <c r="G223" s="80"/>
      <c r="H223" s="80"/>
      <c r="I223" s="80"/>
    </row>
    <row r="224" spans="3:9">
      <c r="C224" s="80"/>
      <c r="D224" s="80"/>
      <c r="E224" s="80"/>
      <c r="F224" s="80"/>
      <c r="G224" s="80"/>
      <c r="H224" s="80"/>
      <c r="I224" s="80"/>
    </row>
    <row r="225" spans="3:9">
      <c r="C225" s="80"/>
      <c r="D225" s="80"/>
      <c r="E225" s="80"/>
      <c r="F225" s="80"/>
      <c r="G225" s="80"/>
      <c r="H225" s="80"/>
      <c r="I225" s="80"/>
    </row>
    <row r="226" spans="3:9">
      <c r="C226" s="80"/>
      <c r="D226" s="80"/>
      <c r="E226" s="80"/>
      <c r="F226" s="80"/>
      <c r="G226" s="80"/>
      <c r="H226" s="80"/>
      <c r="I226" s="80"/>
    </row>
    <row r="227" spans="3:9">
      <c r="C227" s="80"/>
      <c r="D227" s="80"/>
      <c r="E227" s="80"/>
      <c r="F227" s="80"/>
      <c r="G227" s="80"/>
      <c r="H227" s="80"/>
      <c r="I227" s="80"/>
    </row>
    <row r="228" spans="3:9">
      <c r="C228" s="80"/>
      <c r="D228" s="80"/>
      <c r="E228" s="80"/>
      <c r="F228" s="80"/>
      <c r="G228" s="80"/>
      <c r="H228" s="80"/>
      <c r="I228" s="80"/>
    </row>
    <row r="229" spans="3:9">
      <c r="C229" s="80"/>
      <c r="D229" s="80"/>
      <c r="E229" s="80"/>
      <c r="F229" s="80"/>
      <c r="G229" s="80"/>
      <c r="H229" s="80"/>
      <c r="I229" s="80"/>
    </row>
    <row r="230" spans="3:9">
      <c r="C230" s="80"/>
      <c r="D230" s="80"/>
      <c r="E230" s="80"/>
      <c r="F230" s="80"/>
      <c r="G230" s="80"/>
      <c r="H230" s="80"/>
      <c r="I230" s="80"/>
    </row>
    <row r="231" spans="3:9">
      <c r="C231" s="80"/>
      <c r="D231" s="80"/>
      <c r="E231" s="80"/>
      <c r="F231" s="80"/>
      <c r="G231" s="80"/>
      <c r="H231" s="80"/>
      <c r="I231" s="80"/>
    </row>
    <row r="232" spans="3:9">
      <c r="C232" s="80"/>
      <c r="D232" s="80"/>
      <c r="E232" s="80"/>
      <c r="F232" s="80"/>
      <c r="G232" s="80"/>
      <c r="H232" s="80"/>
      <c r="I232" s="80"/>
    </row>
    <row r="233" spans="3:9">
      <c r="C233" s="80"/>
      <c r="D233" s="80"/>
      <c r="E233" s="80"/>
      <c r="F233" s="80"/>
      <c r="G233" s="80"/>
      <c r="H233" s="80"/>
      <c r="I233" s="80"/>
    </row>
    <row r="234" spans="3:9">
      <c r="C234" s="80"/>
      <c r="D234" s="80"/>
      <c r="E234" s="80"/>
      <c r="F234" s="80"/>
      <c r="G234" s="80"/>
      <c r="H234" s="80"/>
      <c r="I234" s="80"/>
    </row>
    <row r="235" spans="3:9">
      <c r="C235" s="80"/>
      <c r="D235" s="80"/>
      <c r="E235" s="80"/>
      <c r="F235" s="80"/>
      <c r="G235" s="80"/>
      <c r="H235" s="80"/>
      <c r="I235" s="80"/>
    </row>
    <row r="236" spans="3:9">
      <c r="C236" s="80"/>
      <c r="D236" s="80"/>
      <c r="E236" s="80"/>
      <c r="F236" s="80"/>
      <c r="G236" s="80"/>
      <c r="H236" s="80"/>
      <c r="I236" s="80"/>
    </row>
    <row r="237" spans="3:9">
      <c r="C237" s="80"/>
      <c r="D237" s="80"/>
      <c r="E237" s="80"/>
      <c r="F237" s="80"/>
      <c r="G237" s="80"/>
      <c r="H237" s="80"/>
      <c r="I237" s="80"/>
    </row>
    <row r="238" spans="3:9">
      <c r="C238" s="80"/>
      <c r="D238" s="80"/>
      <c r="E238" s="80"/>
      <c r="F238" s="80"/>
      <c r="G238" s="80"/>
      <c r="H238" s="80"/>
      <c r="I238" s="80"/>
    </row>
    <row r="239" spans="3:9">
      <c r="C239" s="80"/>
      <c r="D239" s="80"/>
      <c r="E239" s="80"/>
      <c r="F239" s="80"/>
      <c r="G239" s="80"/>
      <c r="H239" s="80"/>
      <c r="I239" s="80"/>
    </row>
    <row r="240" spans="3:9">
      <c r="C240" s="80"/>
      <c r="D240" s="80"/>
      <c r="E240" s="80"/>
      <c r="F240" s="80"/>
      <c r="G240" s="80"/>
      <c r="H240" s="80"/>
      <c r="I240" s="80"/>
    </row>
    <row r="241" spans="3:9">
      <c r="C241" s="80"/>
      <c r="D241" s="80"/>
      <c r="E241" s="80"/>
      <c r="F241" s="80"/>
      <c r="G241" s="80"/>
      <c r="H241" s="80"/>
      <c r="I241" s="80"/>
    </row>
    <row r="242" spans="3:9">
      <c r="C242" s="80"/>
      <c r="D242" s="80"/>
      <c r="E242" s="80"/>
      <c r="F242" s="80"/>
      <c r="G242" s="80"/>
      <c r="H242" s="80"/>
      <c r="I242" s="80"/>
    </row>
    <row r="243" spans="3:9">
      <c r="C243" s="80"/>
      <c r="D243" s="80"/>
      <c r="E243" s="80"/>
      <c r="F243" s="80"/>
      <c r="G243" s="80"/>
      <c r="H243" s="80"/>
      <c r="I243" s="80"/>
    </row>
    <row r="244" spans="3:9">
      <c r="C244" s="80"/>
      <c r="D244" s="80"/>
      <c r="E244" s="80"/>
      <c r="F244" s="80"/>
      <c r="G244" s="80"/>
      <c r="H244" s="80"/>
      <c r="I244" s="80"/>
    </row>
    <row r="245" spans="3:9">
      <c r="C245" s="80"/>
      <c r="D245" s="80"/>
      <c r="E245" s="80"/>
      <c r="F245" s="80"/>
      <c r="G245" s="80"/>
      <c r="H245" s="80"/>
      <c r="I245" s="80"/>
    </row>
    <row r="246" spans="3:9">
      <c r="C246" s="80"/>
      <c r="D246" s="80"/>
      <c r="E246" s="80"/>
      <c r="F246" s="80"/>
      <c r="G246" s="80"/>
      <c r="H246" s="80"/>
      <c r="I246" s="80"/>
    </row>
    <row r="247" spans="3:9">
      <c r="C247" s="80"/>
      <c r="D247" s="80"/>
      <c r="E247" s="80"/>
      <c r="F247" s="80"/>
      <c r="G247" s="80"/>
      <c r="H247" s="80"/>
      <c r="I247" s="80"/>
    </row>
    <row r="248" spans="3:9">
      <c r="C248" s="80"/>
      <c r="D248" s="80"/>
      <c r="E248" s="80"/>
      <c r="F248" s="80"/>
      <c r="G248" s="80"/>
      <c r="H248" s="80"/>
      <c r="I248" s="80"/>
    </row>
    <row r="249" spans="3:9">
      <c r="C249" s="80"/>
      <c r="D249" s="80"/>
      <c r="E249" s="80"/>
      <c r="F249" s="80"/>
      <c r="G249" s="80"/>
      <c r="H249" s="80"/>
      <c r="I249" s="80"/>
    </row>
    <row r="250" spans="3:9">
      <c r="C250" s="80"/>
      <c r="D250" s="80"/>
      <c r="E250" s="80"/>
      <c r="F250" s="80"/>
      <c r="G250" s="80"/>
      <c r="H250" s="80"/>
      <c r="I250" s="80"/>
    </row>
    <row r="251" spans="3:9">
      <c r="C251" s="80"/>
      <c r="D251" s="80"/>
      <c r="E251" s="80"/>
      <c r="F251" s="80"/>
      <c r="G251" s="80"/>
      <c r="H251" s="80"/>
      <c r="I251" s="80"/>
    </row>
    <row r="252" spans="3:9">
      <c r="C252" s="80"/>
      <c r="D252" s="80"/>
      <c r="E252" s="80"/>
      <c r="F252" s="80"/>
      <c r="G252" s="80"/>
      <c r="H252" s="80"/>
      <c r="I252" s="80"/>
    </row>
    <row r="253" spans="3:9">
      <c r="C253" s="80"/>
      <c r="D253" s="80"/>
      <c r="E253" s="80"/>
      <c r="F253" s="80"/>
      <c r="G253" s="80"/>
      <c r="H253" s="80"/>
      <c r="I253" s="80"/>
    </row>
    <row r="254" spans="3:9">
      <c r="C254" s="80"/>
      <c r="D254" s="80"/>
      <c r="E254" s="80"/>
      <c r="F254" s="80"/>
      <c r="G254" s="80"/>
      <c r="H254" s="80"/>
      <c r="I254" s="80"/>
    </row>
    <row r="255" spans="3:9">
      <c r="C255" s="80"/>
      <c r="D255" s="80"/>
      <c r="E255" s="80"/>
      <c r="F255" s="80"/>
      <c r="G255" s="80"/>
      <c r="H255" s="80"/>
      <c r="I255" s="80"/>
    </row>
    <row r="256" spans="3:9">
      <c r="C256" s="80"/>
      <c r="D256" s="80"/>
      <c r="E256" s="80"/>
      <c r="F256" s="80"/>
      <c r="G256" s="80"/>
      <c r="H256" s="80"/>
      <c r="I256" s="80"/>
    </row>
    <row r="257" spans="3:9">
      <c r="C257" s="80"/>
      <c r="D257" s="80"/>
      <c r="E257" s="80"/>
      <c r="F257" s="80"/>
      <c r="G257" s="80"/>
      <c r="H257" s="80"/>
      <c r="I257" s="80"/>
    </row>
    <row r="258" spans="3:9">
      <c r="C258" s="80"/>
      <c r="D258" s="80"/>
      <c r="E258" s="80"/>
      <c r="F258" s="80"/>
      <c r="G258" s="80"/>
      <c r="H258" s="80"/>
      <c r="I258" s="80"/>
    </row>
    <row r="259" spans="3:9">
      <c r="C259" s="80"/>
      <c r="D259" s="80"/>
      <c r="E259" s="80"/>
      <c r="F259" s="80"/>
      <c r="G259" s="80"/>
      <c r="H259" s="80"/>
      <c r="I259" s="80"/>
    </row>
    <row r="260" spans="3:9">
      <c r="C260" s="80"/>
      <c r="D260" s="80"/>
      <c r="E260" s="80"/>
      <c r="F260" s="80"/>
      <c r="G260" s="80"/>
      <c r="H260" s="80"/>
      <c r="I260" s="80"/>
    </row>
    <row r="261" spans="3:9">
      <c r="C261" s="80"/>
      <c r="D261" s="80"/>
      <c r="E261" s="80"/>
      <c r="F261" s="80"/>
      <c r="G261" s="80"/>
      <c r="H261" s="80"/>
      <c r="I261" s="80"/>
    </row>
    <row r="262" spans="3:9">
      <c r="C262" s="80"/>
      <c r="D262" s="80"/>
      <c r="E262" s="80"/>
      <c r="F262" s="80"/>
      <c r="G262" s="80"/>
      <c r="H262" s="80"/>
      <c r="I262" s="80"/>
    </row>
    <row r="263" spans="3:9">
      <c r="C263" s="80"/>
      <c r="D263" s="80"/>
      <c r="E263" s="80"/>
      <c r="F263" s="80"/>
      <c r="G263" s="80"/>
      <c r="H263" s="80"/>
      <c r="I263" s="80"/>
    </row>
    <row r="264" spans="3:9">
      <c r="C264" s="80"/>
      <c r="D264" s="80"/>
      <c r="E264" s="80"/>
      <c r="F264" s="80"/>
      <c r="G264" s="80"/>
      <c r="H264" s="80"/>
      <c r="I264" s="80"/>
    </row>
    <row r="265" spans="3:9">
      <c r="C265" s="80"/>
      <c r="D265" s="80"/>
      <c r="E265" s="80"/>
      <c r="F265" s="80"/>
      <c r="G265" s="80"/>
      <c r="H265" s="80"/>
      <c r="I265" s="80"/>
    </row>
    <row r="266" spans="3:9">
      <c r="C266" s="80"/>
      <c r="D266" s="80"/>
      <c r="E266" s="80"/>
      <c r="F266" s="80"/>
      <c r="G266" s="80"/>
      <c r="H266" s="80"/>
      <c r="I266" s="80"/>
    </row>
    <row r="267" spans="3:9">
      <c r="C267" s="80"/>
      <c r="D267" s="80"/>
      <c r="E267" s="80"/>
      <c r="F267" s="80"/>
      <c r="G267" s="80"/>
      <c r="H267" s="80"/>
      <c r="I267" s="80"/>
    </row>
    <row r="268" spans="3:9">
      <c r="C268" s="80"/>
      <c r="D268" s="80"/>
      <c r="E268" s="80"/>
      <c r="F268" s="80"/>
      <c r="G268" s="80"/>
      <c r="H268" s="80"/>
      <c r="I268" s="80"/>
    </row>
    <row r="269" spans="3:9">
      <c r="C269" s="80"/>
      <c r="D269" s="80"/>
      <c r="E269" s="80"/>
      <c r="F269" s="80"/>
      <c r="G269" s="80"/>
      <c r="H269" s="80"/>
      <c r="I269" s="80"/>
    </row>
    <row r="270" spans="3:9">
      <c r="C270" s="80"/>
      <c r="D270" s="80"/>
      <c r="E270" s="80"/>
      <c r="F270" s="80"/>
      <c r="G270" s="80"/>
      <c r="H270" s="80"/>
      <c r="I270" s="80"/>
    </row>
    <row r="271" spans="3:9">
      <c r="C271" s="80"/>
      <c r="D271" s="80"/>
      <c r="E271" s="80"/>
      <c r="F271" s="80"/>
      <c r="G271" s="80"/>
      <c r="H271" s="80"/>
      <c r="I271" s="80"/>
    </row>
    <row r="272" spans="3:9">
      <c r="C272" s="80"/>
      <c r="D272" s="80"/>
      <c r="E272" s="80"/>
      <c r="F272" s="80"/>
      <c r="G272" s="80"/>
      <c r="H272" s="80"/>
      <c r="I272" s="80"/>
    </row>
    <row r="273" spans="3:9">
      <c r="C273" s="80"/>
      <c r="D273" s="80"/>
      <c r="E273" s="80"/>
      <c r="F273" s="80"/>
      <c r="G273" s="80"/>
      <c r="H273" s="80"/>
      <c r="I273" s="80"/>
    </row>
    <row r="274" spans="3:9">
      <c r="C274" s="80"/>
      <c r="D274" s="80"/>
      <c r="E274" s="80"/>
      <c r="F274" s="80"/>
      <c r="G274" s="80"/>
      <c r="H274" s="80"/>
      <c r="I274" s="80"/>
    </row>
    <row r="275" spans="3:9">
      <c r="C275" s="80"/>
      <c r="D275" s="80"/>
      <c r="E275" s="80"/>
      <c r="F275" s="80"/>
      <c r="G275" s="80"/>
      <c r="H275" s="80"/>
      <c r="I275" s="80"/>
    </row>
    <row r="276" spans="3:9">
      <c r="C276" s="80"/>
      <c r="D276" s="80"/>
      <c r="E276" s="80"/>
      <c r="F276" s="80"/>
      <c r="G276" s="80"/>
      <c r="H276" s="80"/>
      <c r="I276" s="80"/>
    </row>
    <row r="277" spans="3:9">
      <c r="C277" s="80"/>
      <c r="D277" s="80"/>
      <c r="E277" s="80"/>
      <c r="F277" s="80"/>
      <c r="G277" s="80"/>
      <c r="H277" s="80"/>
      <c r="I277" s="80"/>
    </row>
    <row r="278" spans="3:9">
      <c r="C278" s="80"/>
      <c r="D278" s="80"/>
      <c r="E278" s="80"/>
      <c r="F278" s="80"/>
      <c r="G278" s="80"/>
      <c r="H278" s="80"/>
      <c r="I278" s="80"/>
    </row>
    <row r="279" spans="3:9">
      <c r="C279" s="80"/>
      <c r="D279" s="80"/>
      <c r="E279" s="80"/>
      <c r="F279" s="80"/>
      <c r="G279" s="80"/>
      <c r="H279" s="80"/>
      <c r="I279" s="80"/>
    </row>
    <row r="280" spans="3:9">
      <c r="C280" s="80"/>
      <c r="D280" s="80"/>
      <c r="E280" s="80"/>
      <c r="F280" s="80"/>
      <c r="G280" s="80"/>
      <c r="H280" s="80"/>
      <c r="I280" s="80"/>
    </row>
    <row r="281" spans="3:9">
      <c r="C281" s="80"/>
      <c r="D281" s="80"/>
      <c r="E281" s="80"/>
      <c r="F281" s="80"/>
      <c r="G281" s="80"/>
      <c r="H281" s="80"/>
      <c r="I281" s="80"/>
    </row>
    <row r="282" spans="3:9">
      <c r="C282" s="80"/>
      <c r="D282" s="80"/>
      <c r="E282" s="80"/>
      <c r="F282" s="80"/>
      <c r="G282" s="80"/>
      <c r="H282" s="80"/>
      <c r="I282" s="80"/>
    </row>
    <row r="283" spans="3:9">
      <c r="C283" s="80"/>
      <c r="D283" s="80"/>
      <c r="E283" s="80"/>
      <c r="F283" s="80"/>
      <c r="G283" s="80"/>
      <c r="H283" s="80"/>
      <c r="I283" s="80"/>
    </row>
    <row r="284" spans="3:9">
      <c r="C284" s="80"/>
      <c r="D284" s="80"/>
      <c r="E284" s="80"/>
      <c r="F284" s="80"/>
      <c r="G284" s="80"/>
      <c r="H284" s="80"/>
      <c r="I284" s="80"/>
    </row>
    <row r="285" spans="3:9">
      <c r="C285" s="80"/>
      <c r="D285" s="80"/>
      <c r="E285" s="80"/>
      <c r="F285" s="80"/>
      <c r="G285" s="80"/>
      <c r="H285" s="80"/>
      <c r="I285" s="80"/>
    </row>
    <row r="286" spans="3:9">
      <c r="C286" s="80"/>
      <c r="D286" s="80"/>
      <c r="E286" s="80"/>
      <c r="F286" s="80"/>
      <c r="G286" s="80"/>
      <c r="H286" s="80"/>
      <c r="I286" s="80"/>
    </row>
    <row r="287" spans="3:9">
      <c r="C287" s="80"/>
      <c r="D287" s="80"/>
      <c r="E287" s="80"/>
      <c r="F287" s="80"/>
      <c r="G287" s="80"/>
      <c r="H287" s="80"/>
      <c r="I287" s="80"/>
    </row>
    <row r="288" spans="3:9">
      <c r="C288" s="80"/>
      <c r="D288" s="80"/>
      <c r="E288" s="80"/>
      <c r="F288" s="80"/>
      <c r="G288" s="80"/>
      <c r="H288" s="80"/>
      <c r="I288" s="80"/>
    </row>
    <row r="289" spans="3:9">
      <c r="C289" s="80"/>
      <c r="D289" s="80"/>
      <c r="E289" s="80"/>
      <c r="F289" s="80"/>
      <c r="G289" s="80"/>
      <c r="H289" s="80"/>
      <c r="I289" s="80"/>
    </row>
    <row r="290" spans="3:9">
      <c r="C290" s="80"/>
      <c r="D290" s="80"/>
      <c r="E290" s="80"/>
      <c r="F290" s="80"/>
      <c r="G290" s="80"/>
      <c r="H290" s="80"/>
      <c r="I290" s="80"/>
    </row>
    <row r="291" spans="3:9">
      <c r="C291" s="80"/>
      <c r="D291" s="80"/>
      <c r="E291" s="80"/>
      <c r="F291" s="80"/>
      <c r="G291" s="80"/>
      <c r="H291" s="80"/>
      <c r="I291" s="80"/>
    </row>
    <row r="292" spans="3:9">
      <c r="C292" s="80"/>
      <c r="D292" s="80"/>
      <c r="E292" s="80"/>
      <c r="F292" s="80"/>
      <c r="G292" s="80"/>
      <c r="H292" s="80"/>
      <c r="I292" s="80"/>
    </row>
    <row r="293" spans="3:9">
      <c r="C293" s="80"/>
      <c r="D293" s="80"/>
      <c r="E293" s="80"/>
      <c r="F293" s="80"/>
      <c r="G293" s="80"/>
      <c r="H293" s="80"/>
      <c r="I293" s="80"/>
    </row>
    <row r="294" spans="3:9">
      <c r="C294" s="80"/>
      <c r="D294" s="80"/>
      <c r="E294" s="80"/>
      <c r="F294" s="80"/>
      <c r="G294" s="80"/>
      <c r="H294" s="80"/>
      <c r="I294" s="80"/>
    </row>
    <row r="295" spans="3:9">
      <c r="C295" s="80"/>
      <c r="D295" s="80"/>
      <c r="E295" s="80"/>
      <c r="F295" s="80"/>
      <c r="G295" s="80"/>
      <c r="H295" s="80"/>
      <c r="I295" s="80"/>
    </row>
    <row r="296" spans="3:9">
      <c r="C296" s="80"/>
      <c r="D296" s="80"/>
      <c r="E296" s="80"/>
      <c r="F296" s="80"/>
      <c r="G296" s="80"/>
      <c r="H296" s="80"/>
      <c r="I296" s="80"/>
    </row>
    <row r="297" spans="3:9">
      <c r="C297" s="80"/>
      <c r="D297" s="80"/>
      <c r="E297" s="80"/>
      <c r="F297" s="80"/>
      <c r="G297" s="80"/>
      <c r="H297" s="80"/>
      <c r="I297" s="80"/>
    </row>
    <row r="298" spans="3:9">
      <c r="C298" s="80"/>
      <c r="D298" s="80"/>
      <c r="E298" s="80"/>
      <c r="F298" s="80"/>
      <c r="G298" s="80"/>
      <c r="H298" s="80"/>
      <c r="I298" s="80"/>
    </row>
    <row r="299" spans="3:9">
      <c r="C299" s="80"/>
      <c r="D299" s="80"/>
      <c r="E299" s="80"/>
      <c r="F299" s="80"/>
      <c r="G299" s="80"/>
      <c r="H299" s="80"/>
      <c r="I299" s="80"/>
    </row>
    <row r="300" spans="3:9">
      <c r="C300" s="80"/>
      <c r="D300" s="80"/>
      <c r="E300" s="80"/>
      <c r="F300" s="80"/>
      <c r="G300" s="80"/>
      <c r="H300" s="80"/>
      <c r="I300" s="80"/>
    </row>
    <row r="301" spans="3:9">
      <c r="C301" s="80"/>
      <c r="D301" s="80"/>
      <c r="E301" s="80"/>
      <c r="F301" s="80"/>
      <c r="G301" s="80"/>
      <c r="H301" s="80"/>
      <c r="I301" s="80"/>
    </row>
    <row r="302" spans="3:9">
      <c r="C302" s="80"/>
      <c r="D302" s="80"/>
      <c r="E302" s="80"/>
      <c r="F302" s="80"/>
      <c r="G302" s="80"/>
      <c r="H302" s="80"/>
      <c r="I302" s="80"/>
    </row>
    <row r="303" spans="3:9">
      <c r="C303" s="80"/>
      <c r="D303" s="80"/>
      <c r="E303" s="80"/>
      <c r="F303" s="80"/>
      <c r="G303" s="80"/>
      <c r="H303" s="80"/>
      <c r="I303" s="80"/>
    </row>
    <row r="304" spans="3:9">
      <c r="C304" s="80"/>
      <c r="D304" s="80"/>
      <c r="E304" s="80"/>
      <c r="F304" s="80"/>
      <c r="G304" s="80"/>
      <c r="H304" s="80"/>
      <c r="I304" s="80"/>
    </row>
    <row r="305" spans="3:9">
      <c r="C305" s="80"/>
      <c r="D305" s="80"/>
      <c r="E305" s="80"/>
      <c r="F305" s="80"/>
      <c r="G305" s="80"/>
      <c r="H305" s="80"/>
      <c r="I305" s="80"/>
    </row>
    <row r="306" spans="3:9">
      <c r="C306" s="80"/>
      <c r="D306" s="80"/>
      <c r="E306" s="80"/>
      <c r="F306" s="80"/>
      <c r="G306" s="80"/>
      <c r="H306" s="80"/>
      <c r="I306" s="80"/>
    </row>
    <row r="307" spans="3:9">
      <c r="C307" s="80"/>
      <c r="D307" s="80"/>
      <c r="E307" s="80"/>
      <c r="F307" s="80"/>
      <c r="G307" s="80"/>
      <c r="H307" s="80"/>
      <c r="I307" s="80"/>
    </row>
    <row r="308" spans="3:9">
      <c r="C308" s="80"/>
      <c r="D308" s="80"/>
      <c r="E308" s="80"/>
      <c r="F308" s="80"/>
      <c r="G308" s="80"/>
      <c r="H308" s="80"/>
      <c r="I308" s="80"/>
    </row>
    <row r="309" spans="3:9">
      <c r="C309" s="80"/>
      <c r="D309" s="80"/>
      <c r="E309" s="80"/>
      <c r="F309" s="80"/>
      <c r="G309" s="80"/>
      <c r="H309" s="80"/>
      <c r="I309" s="80"/>
    </row>
    <row r="310" spans="3:9">
      <c r="C310" s="80"/>
      <c r="D310" s="80"/>
      <c r="E310" s="80"/>
      <c r="F310" s="80"/>
      <c r="G310" s="80"/>
      <c r="H310" s="80"/>
      <c r="I310" s="80"/>
    </row>
    <row r="311" spans="3:9">
      <c r="C311" s="80"/>
      <c r="D311" s="80"/>
      <c r="E311" s="80"/>
      <c r="F311" s="80"/>
      <c r="G311" s="80"/>
      <c r="H311" s="80"/>
      <c r="I311" s="80"/>
    </row>
    <row r="312" spans="3:9">
      <c r="C312" s="80"/>
      <c r="D312" s="80"/>
      <c r="E312" s="80"/>
      <c r="F312" s="80"/>
      <c r="G312" s="80"/>
      <c r="H312" s="80"/>
      <c r="I312" s="80"/>
    </row>
    <row r="313" spans="3:9">
      <c r="C313" s="80"/>
      <c r="D313" s="80"/>
      <c r="E313" s="80"/>
      <c r="F313" s="80"/>
      <c r="G313" s="80"/>
      <c r="H313" s="80"/>
      <c r="I313" s="80"/>
    </row>
    <row r="314" spans="3:9">
      <c r="C314" s="80"/>
      <c r="D314" s="80"/>
      <c r="E314" s="80"/>
      <c r="F314" s="80"/>
      <c r="G314" s="80"/>
      <c r="H314" s="80"/>
      <c r="I314" s="80"/>
    </row>
    <row r="315" spans="3:9">
      <c r="C315" s="80"/>
      <c r="D315" s="80"/>
      <c r="E315" s="80"/>
      <c r="F315" s="80"/>
      <c r="G315" s="80"/>
      <c r="H315" s="80"/>
      <c r="I315" s="80"/>
    </row>
    <row r="316" spans="3:9">
      <c r="C316" s="80"/>
      <c r="D316" s="80"/>
      <c r="E316" s="80"/>
      <c r="F316" s="80"/>
      <c r="G316" s="80"/>
      <c r="H316" s="80"/>
      <c r="I316" s="80"/>
    </row>
    <row r="317" spans="3:9">
      <c r="C317" s="80"/>
      <c r="D317" s="80"/>
      <c r="E317" s="80"/>
      <c r="F317" s="80"/>
      <c r="G317" s="80"/>
      <c r="H317" s="80"/>
      <c r="I317" s="80"/>
    </row>
    <row r="318" spans="3:9">
      <c r="C318" s="80"/>
      <c r="D318" s="80"/>
      <c r="E318" s="80"/>
      <c r="F318" s="80"/>
      <c r="G318" s="80"/>
      <c r="H318" s="80"/>
      <c r="I318" s="80"/>
    </row>
    <row r="319" spans="3:9">
      <c r="C319" s="80"/>
      <c r="D319" s="80"/>
      <c r="E319" s="80"/>
      <c r="F319" s="80"/>
      <c r="G319" s="80"/>
      <c r="H319" s="80"/>
      <c r="I319" s="80"/>
    </row>
    <row r="320" spans="3:9">
      <c r="C320" s="80"/>
      <c r="D320" s="80"/>
      <c r="E320" s="80"/>
      <c r="F320" s="80"/>
      <c r="G320" s="80"/>
      <c r="H320" s="80"/>
      <c r="I320" s="80"/>
    </row>
    <row r="321" spans="3:9">
      <c r="C321" s="80"/>
      <c r="D321" s="80"/>
      <c r="E321" s="80"/>
      <c r="F321" s="80"/>
      <c r="G321" s="80"/>
      <c r="H321" s="80"/>
      <c r="I321" s="80"/>
    </row>
    <row r="322" spans="3:9">
      <c r="C322" s="80"/>
      <c r="D322" s="80"/>
      <c r="E322" s="80"/>
      <c r="F322" s="80"/>
      <c r="G322" s="80"/>
      <c r="H322" s="80"/>
      <c r="I322" s="80"/>
    </row>
    <row r="323" spans="3:9">
      <c r="C323" s="80"/>
      <c r="D323" s="80"/>
      <c r="E323" s="80"/>
      <c r="F323" s="80"/>
      <c r="G323" s="80"/>
      <c r="H323" s="80"/>
      <c r="I323" s="80"/>
    </row>
    <row r="324" spans="3:9">
      <c r="C324" s="80"/>
      <c r="D324" s="80"/>
      <c r="E324" s="80"/>
      <c r="F324" s="80"/>
      <c r="G324" s="80"/>
      <c r="H324" s="80"/>
      <c r="I324" s="80"/>
    </row>
    <row r="325" spans="3:9">
      <c r="C325" s="80"/>
      <c r="D325" s="80"/>
      <c r="E325" s="80"/>
      <c r="F325" s="80"/>
      <c r="G325" s="80"/>
      <c r="H325" s="80"/>
      <c r="I325" s="80"/>
    </row>
    <row r="326" spans="3:9">
      <c r="C326" s="80"/>
      <c r="D326" s="80"/>
      <c r="E326" s="80"/>
      <c r="F326" s="80"/>
      <c r="G326" s="80"/>
      <c r="H326" s="80"/>
      <c r="I326" s="80"/>
    </row>
    <row r="327" spans="3:9">
      <c r="C327" s="80"/>
      <c r="D327" s="80"/>
      <c r="E327" s="80"/>
      <c r="F327" s="80"/>
      <c r="G327" s="80"/>
      <c r="H327" s="80"/>
      <c r="I327" s="80"/>
    </row>
    <row r="328" spans="3:9">
      <c r="C328" s="80"/>
      <c r="D328" s="80"/>
      <c r="E328" s="80"/>
      <c r="F328" s="80"/>
      <c r="G328" s="80"/>
      <c r="H328" s="80"/>
      <c r="I328" s="80"/>
    </row>
    <row r="329" spans="3:9">
      <c r="C329" s="80"/>
      <c r="D329" s="80"/>
      <c r="E329" s="80"/>
      <c r="F329" s="80"/>
      <c r="G329" s="80"/>
      <c r="H329" s="80"/>
      <c r="I329" s="80"/>
    </row>
    <row r="330" spans="3:9">
      <c r="C330" s="80"/>
      <c r="D330" s="80"/>
      <c r="E330" s="80"/>
      <c r="F330" s="80"/>
      <c r="G330" s="80"/>
      <c r="H330" s="80"/>
      <c r="I330" s="80"/>
    </row>
    <row r="331" spans="3:9">
      <c r="C331" s="80"/>
      <c r="D331" s="80"/>
      <c r="E331" s="80"/>
      <c r="F331" s="80"/>
      <c r="G331" s="80"/>
      <c r="H331" s="80"/>
      <c r="I331" s="80"/>
    </row>
    <row r="332" spans="3:9">
      <c r="C332" s="80"/>
      <c r="D332" s="80"/>
      <c r="E332" s="80"/>
      <c r="F332" s="80"/>
      <c r="G332" s="80"/>
      <c r="H332" s="80"/>
      <c r="I332" s="80"/>
    </row>
    <row r="333" spans="3:9">
      <c r="C333" s="80"/>
      <c r="D333" s="80"/>
      <c r="E333" s="80"/>
      <c r="F333" s="80"/>
      <c r="G333" s="80"/>
      <c r="H333" s="80"/>
      <c r="I333" s="80"/>
    </row>
    <row r="334" spans="3:9">
      <c r="C334" s="80"/>
      <c r="D334" s="80"/>
      <c r="E334" s="80"/>
      <c r="F334" s="80"/>
      <c r="G334" s="80"/>
      <c r="H334" s="80"/>
      <c r="I334" s="80"/>
    </row>
    <row r="335" spans="3:9">
      <c r="C335" s="80"/>
      <c r="D335" s="80"/>
      <c r="E335" s="80"/>
      <c r="F335" s="80"/>
      <c r="G335" s="80"/>
      <c r="H335" s="80"/>
      <c r="I335" s="80"/>
    </row>
    <row r="336" spans="3:9">
      <c r="C336" s="80"/>
      <c r="D336" s="80"/>
      <c r="E336" s="80"/>
      <c r="F336" s="80"/>
      <c r="G336" s="80"/>
      <c r="H336" s="80"/>
      <c r="I336" s="80"/>
    </row>
    <row r="337" spans="3:9">
      <c r="C337" s="80"/>
      <c r="D337" s="80"/>
      <c r="E337" s="80"/>
      <c r="F337" s="80"/>
      <c r="G337" s="80"/>
      <c r="H337" s="80"/>
      <c r="I337" s="80"/>
    </row>
    <row r="338" spans="3:9">
      <c r="C338" s="80"/>
      <c r="D338" s="80"/>
      <c r="E338" s="80"/>
      <c r="F338" s="80"/>
      <c r="G338" s="80"/>
      <c r="H338" s="80"/>
      <c r="I338" s="80"/>
    </row>
    <row r="339" spans="3:9">
      <c r="C339" s="80"/>
      <c r="D339" s="80"/>
      <c r="E339" s="80"/>
      <c r="F339" s="80"/>
      <c r="G339" s="80"/>
      <c r="H339" s="80"/>
      <c r="I339" s="80"/>
    </row>
    <row r="340" spans="3:9">
      <c r="C340" s="80"/>
      <c r="D340" s="80"/>
      <c r="E340" s="80"/>
      <c r="F340" s="80"/>
      <c r="G340" s="80"/>
      <c r="H340" s="80"/>
      <c r="I340" s="80"/>
    </row>
    <row r="341" spans="3:9">
      <c r="C341" s="80"/>
      <c r="D341" s="80"/>
      <c r="E341" s="80"/>
      <c r="F341" s="80"/>
      <c r="G341" s="80"/>
      <c r="H341" s="80"/>
      <c r="I341" s="80"/>
    </row>
    <row r="342" spans="3:9">
      <c r="C342" s="80"/>
      <c r="D342" s="80"/>
      <c r="E342" s="80"/>
      <c r="F342" s="80"/>
      <c r="G342" s="80"/>
      <c r="H342" s="80"/>
      <c r="I342" s="80"/>
    </row>
    <row r="343" spans="3:9">
      <c r="C343" s="80"/>
      <c r="D343" s="80"/>
      <c r="E343" s="80"/>
      <c r="F343" s="80"/>
      <c r="G343" s="80"/>
      <c r="H343" s="80"/>
      <c r="I343" s="80"/>
    </row>
    <row r="344" spans="3:9">
      <c r="C344" s="80"/>
      <c r="D344" s="80"/>
      <c r="E344" s="80"/>
      <c r="F344" s="80"/>
      <c r="G344" s="80"/>
      <c r="H344" s="80"/>
      <c r="I344" s="80"/>
    </row>
    <row r="345" spans="3:9">
      <c r="C345" s="80"/>
      <c r="D345" s="80"/>
      <c r="E345" s="80"/>
      <c r="F345" s="80"/>
      <c r="G345" s="80"/>
      <c r="H345" s="80"/>
      <c r="I345" s="80"/>
    </row>
    <row r="346" spans="3:9">
      <c r="C346" s="80"/>
      <c r="D346" s="80"/>
      <c r="E346" s="80"/>
      <c r="F346" s="80"/>
      <c r="G346" s="80"/>
      <c r="H346" s="80"/>
      <c r="I346" s="80"/>
    </row>
    <row r="347" spans="3:9">
      <c r="C347" s="80"/>
      <c r="D347" s="80"/>
      <c r="E347" s="80"/>
      <c r="F347" s="80"/>
      <c r="G347" s="80"/>
      <c r="H347" s="80"/>
      <c r="I347" s="80"/>
    </row>
    <row r="348" spans="3:9">
      <c r="C348" s="80"/>
      <c r="D348" s="80"/>
      <c r="E348" s="80"/>
      <c r="F348" s="80"/>
      <c r="G348" s="80"/>
      <c r="H348" s="80"/>
      <c r="I348" s="80"/>
    </row>
    <row r="349" spans="3:9">
      <c r="C349" s="80"/>
      <c r="D349" s="80"/>
      <c r="E349" s="80"/>
      <c r="F349" s="80"/>
      <c r="G349" s="80"/>
      <c r="H349" s="80"/>
      <c r="I349" s="80"/>
    </row>
    <row r="350" spans="3:9">
      <c r="C350" s="80"/>
      <c r="D350" s="80"/>
      <c r="E350" s="80"/>
      <c r="F350" s="80"/>
      <c r="G350" s="80"/>
      <c r="H350" s="80"/>
      <c r="I350" s="80"/>
    </row>
    <row r="351" spans="3:9">
      <c r="C351" s="80"/>
      <c r="D351" s="80"/>
      <c r="E351" s="80"/>
      <c r="F351" s="80"/>
      <c r="G351" s="80"/>
      <c r="H351" s="80"/>
      <c r="I351" s="80"/>
    </row>
    <row r="352" spans="3:9">
      <c r="C352" s="80"/>
      <c r="D352" s="80"/>
      <c r="E352" s="80"/>
      <c r="F352" s="80"/>
      <c r="G352" s="80"/>
      <c r="H352" s="80"/>
      <c r="I352" s="80"/>
    </row>
    <row r="353" spans="3:9">
      <c r="C353" s="80"/>
      <c r="D353" s="80"/>
      <c r="E353" s="80"/>
      <c r="F353" s="80"/>
      <c r="G353" s="80"/>
      <c r="H353" s="80"/>
      <c r="I353" s="80"/>
    </row>
    <row r="354" spans="3:9">
      <c r="C354" s="80"/>
      <c r="D354" s="80"/>
      <c r="E354" s="80"/>
      <c r="F354" s="80"/>
      <c r="G354" s="80"/>
      <c r="H354" s="80"/>
      <c r="I354" s="80"/>
    </row>
    <row r="355" spans="3:9">
      <c r="C355" s="80"/>
      <c r="D355" s="80"/>
      <c r="E355" s="80"/>
      <c r="F355" s="80"/>
      <c r="G355" s="80"/>
      <c r="H355" s="80"/>
      <c r="I355" s="80"/>
    </row>
    <row r="356" spans="3:9">
      <c r="C356" s="80"/>
      <c r="D356" s="80"/>
      <c r="E356" s="80"/>
      <c r="F356" s="80"/>
      <c r="G356" s="80"/>
      <c r="H356" s="80"/>
      <c r="I356" s="80"/>
    </row>
    <row r="357" spans="3:9">
      <c r="C357" s="80"/>
      <c r="D357" s="80"/>
      <c r="E357" s="80"/>
      <c r="F357" s="80"/>
      <c r="G357" s="80"/>
      <c r="H357" s="80"/>
      <c r="I357" s="80"/>
    </row>
    <row r="358" spans="3:9">
      <c r="C358" s="80"/>
      <c r="D358" s="80"/>
      <c r="E358" s="80"/>
      <c r="F358" s="80"/>
      <c r="G358" s="80"/>
      <c r="H358" s="80"/>
      <c r="I358" s="80"/>
    </row>
    <row r="359" spans="3:9">
      <c r="C359" s="80"/>
      <c r="D359" s="80"/>
      <c r="E359" s="80"/>
      <c r="F359" s="80"/>
      <c r="G359" s="80"/>
      <c r="H359" s="80"/>
      <c r="I359" s="80"/>
    </row>
    <row r="360" spans="3:9">
      <c r="C360" s="80"/>
      <c r="D360" s="80"/>
      <c r="E360" s="80"/>
      <c r="F360" s="80"/>
      <c r="G360" s="80"/>
      <c r="H360" s="80"/>
      <c r="I360" s="80"/>
    </row>
    <row r="361" spans="3:9">
      <c r="C361" s="80"/>
      <c r="D361" s="80"/>
      <c r="E361" s="80"/>
      <c r="F361" s="80"/>
      <c r="G361" s="80"/>
      <c r="H361" s="80"/>
      <c r="I361" s="80"/>
    </row>
    <row r="362" spans="3:9">
      <c r="C362" s="80"/>
      <c r="D362" s="80"/>
      <c r="E362" s="80"/>
      <c r="F362" s="80"/>
      <c r="G362" s="80"/>
      <c r="H362" s="80"/>
      <c r="I362" s="80"/>
    </row>
    <row r="363" spans="3:9">
      <c r="C363" s="80"/>
      <c r="D363" s="80"/>
      <c r="E363" s="80"/>
      <c r="F363" s="80"/>
      <c r="G363" s="80"/>
      <c r="H363" s="80"/>
      <c r="I363" s="80"/>
    </row>
    <row r="364" spans="3:9">
      <c r="C364" s="80"/>
      <c r="D364" s="80"/>
      <c r="E364" s="80"/>
      <c r="F364" s="80"/>
      <c r="G364" s="80"/>
      <c r="H364" s="80"/>
      <c r="I364" s="80"/>
    </row>
    <row r="365" spans="3:9">
      <c r="C365" s="80"/>
      <c r="D365" s="80"/>
      <c r="E365" s="80"/>
      <c r="F365" s="80"/>
      <c r="G365" s="80"/>
      <c r="H365" s="80"/>
      <c r="I365" s="80"/>
    </row>
    <row r="366" spans="3:9">
      <c r="C366" s="80"/>
      <c r="D366" s="80"/>
      <c r="E366" s="80"/>
      <c r="F366" s="80"/>
      <c r="G366" s="80"/>
      <c r="H366" s="80"/>
      <c r="I366" s="80"/>
    </row>
    <row r="367" spans="3:9">
      <c r="C367" s="80"/>
      <c r="D367" s="80"/>
      <c r="E367" s="80"/>
      <c r="F367" s="80"/>
      <c r="G367" s="80"/>
      <c r="H367" s="80"/>
      <c r="I367" s="80"/>
    </row>
    <row r="368" spans="3:9">
      <c r="C368" s="80"/>
      <c r="D368" s="80"/>
      <c r="E368" s="80"/>
      <c r="F368" s="80"/>
      <c r="G368" s="80"/>
      <c r="H368" s="80"/>
      <c r="I368" s="80"/>
    </row>
    <row r="369" spans="3:9">
      <c r="C369" s="80"/>
      <c r="D369" s="80"/>
      <c r="E369" s="80"/>
      <c r="F369" s="80"/>
      <c r="G369" s="80"/>
      <c r="H369" s="80"/>
      <c r="I369" s="80"/>
    </row>
    <row r="370" spans="3:9">
      <c r="C370" s="80"/>
      <c r="D370" s="80"/>
      <c r="E370" s="80"/>
      <c r="F370" s="80"/>
      <c r="G370" s="80"/>
      <c r="H370" s="80"/>
      <c r="I370" s="80"/>
    </row>
    <row r="371" spans="3:9">
      <c r="C371" s="80"/>
      <c r="D371" s="80"/>
      <c r="E371" s="80"/>
      <c r="F371" s="80"/>
      <c r="G371" s="80"/>
      <c r="H371" s="80"/>
      <c r="I371" s="80"/>
    </row>
    <row r="372" spans="3:9">
      <c r="C372" s="80"/>
      <c r="D372" s="80"/>
      <c r="E372" s="80"/>
      <c r="F372" s="80"/>
      <c r="G372" s="80"/>
      <c r="H372" s="80"/>
      <c r="I372" s="80"/>
    </row>
    <row r="373" spans="3:9">
      <c r="C373" s="80"/>
      <c r="D373" s="80"/>
      <c r="E373" s="80"/>
      <c r="F373" s="80"/>
      <c r="G373" s="80"/>
      <c r="H373" s="80"/>
      <c r="I373" s="80"/>
    </row>
    <row r="374" spans="3:9">
      <c r="C374" s="80"/>
      <c r="D374" s="80"/>
      <c r="E374" s="80"/>
      <c r="F374" s="80"/>
      <c r="G374" s="80"/>
      <c r="H374" s="80"/>
      <c r="I374" s="80"/>
    </row>
    <row r="375" spans="3:9">
      <c r="C375" s="80"/>
      <c r="D375" s="80"/>
      <c r="E375" s="80"/>
      <c r="F375" s="80"/>
      <c r="G375" s="80"/>
      <c r="H375" s="80"/>
      <c r="I375" s="80"/>
    </row>
    <row r="376" spans="3:9">
      <c r="C376" s="80"/>
      <c r="D376" s="80"/>
      <c r="E376" s="80"/>
      <c r="F376" s="80"/>
      <c r="G376" s="80"/>
      <c r="H376" s="80"/>
      <c r="I376" s="80"/>
    </row>
  </sheetData>
  <mergeCells count="33">
    <mergeCell ref="C20:G20"/>
    <mergeCell ref="C15:F15"/>
    <mergeCell ref="C16:G16"/>
    <mergeCell ref="C17:G17"/>
    <mergeCell ref="C18:G18"/>
    <mergeCell ref="C19:G19"/>
    <mergeCell ref="C9:F9"/>
    <mergeCell ref="C10:F10"/>
    <mergeCell ref="C11:F11"/>
    <mergeCell ref="C12:F12"/>
    <mergeCell ref="C13:F13"/>
    <mergeCell ref="C23:G23"/>
    <mergeCell ref="C24:G24"/>
    <mergeCell ref="C25:G25"/>
    <mergeCell ref="C28:G28"/>
    <mergeCell ref="C29:G29"/>
    <mergeCell ref="C37:G37"/>
    <mergeCell ref="C30:G30"/>
    <mergeCell ref="C31:G31"/>
    <mergeCell ref="C34:G34"/>
    <mergeCell ref="C35:G35"/>
    <mergeCell ref="C36:G36"/>
    <mergeCell ref="C51:F51"/>
    <mergeCell ref="C53:F53"/>
    <mergeCell ref="C54:F54"/>
    <mergeCell ref="C55:F55"/>
    <mergeCell ref="C56:F56"/>
    <mergeCell ref="C63:G63"/>
    <mergeCell ref="C58:F58"/>
    <mergeCell ref="C59:G59"/>
    <mergeCell ref="C60:G60"/>
    <mergeCell ref="C61:G61"/>
    <mergeCell ref="C62:G6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3"/>
  <sheetViews>
    <sheetView workbookViewId="0">
      <selection activeCell="C17" sqref="C17"/>
    </sheetView>
  </sheetViews>
  <sheetFormatPr baseColWidth="10" defaultColWidth="8.83203125" defaultRowHeight="14" x14ac:dyDescent="0"/>
  <cols>
    <col min="1" max="3" width="8.83203125" style="81"/>
    <col min="4" max="4" width="12.33203125" style="81" customWidth="1"/>
    <col min="5" max="5" width="11.5" style="81" bestFit="1" customWidth="1"/>
    <col min="6" max="6" width="11.6640625" style="81" customWidth="1"/>
    <col min="7" max="7" width="10.33203125" style="81" customWidth="1"/>
    <col min="8" max="8" width="13.1640625" style="81" customWidth="1"/>
    <col min="9" max="9" width="22.33203125" style="81" bestFit="1" customWidth="1"/>
    <col min="10" max="16384" width="8.83203125" style="81"/>
  </cols>
  <sheetData>
    <row r="3" spans="3:9">
      <c r="C3" s="138" t="s">
        <v>402</v>
      </c>
      <c r="D3" s="138" t="s">
        <v>390</v>
      </c>
      <c r="E3" s="138" t="s">
        <v>16</v>
      </c>
      <c r="F3" s="138" t="s">
        <v>407</v>
      </c>
      <c r="G3" s="331" t="s">
        <v>399</v>
      </c>
      <c r="H3" s="138" t="s">
        <v>403</v>
      </c>
      <c r="I3" s="138"/>
    </row>
    <row r="4" spans="3:9">
      <c r="C4" s="308">
        <v>240</v>
      </c>
      <c r="D4" s="308">
        <v>550</v>
      </c>
      <c r="E4" s="318">
        <f>C4/$C$8</f>
        <v>0.6</v>
      </c>
      <c r="F4" s="92">
        <f>(Total_overview!F7*'Real Estate'!H19)*E4</f>
        <v>13189.175999999999</v>
      </c>
      <c r="G4" s="92">
        <f>F4*10.764</f>
        <v>141968.29046399999</v>
      </c>
      <c r="H4" s="322">
        <f>$G$4*D4</f>
        <v>78082559.755199999</v>
      </c>
      <c r="I4" s="308"/>
    </row>
    <row r="5" spans="3:9">
      <c r="C5" s="308">
        <v>100</v>
      </c>
      <c r="D5" s="308">
        <v>750</v>
      </c>
      <c r="E5" s="318">
        <f>C5/$C$8</f>
        <v>0.25</v>
      </c>
      <c r="F5" s="92">
        <f>(Total_overview!F7*'Real Estate'!H19)*E5</f>
        <v>5495.49</v>
      </c>
      <c r="G5" s="92">
        <f>F5*10.764</f>
        <v>59153.454359999996</v>
      </c>
      <c r="H5" s="322">
        <f>$G$5*D5</f>
        <v>44365090.769999996</v>
      </c>
      <c r="I5" s="308"/>
    </row>
    <row r="6" spans="3:9">
      <c r="C6" s="308">
        <v>40</v>
      </c>
      <c r="D6" s="308">
        <v>950</v>
      </c>
      <c r="E6" s="318">
        <f>C6/$C$8</f>
        <v>0.1</v>
      </c>
      <c r="F6" s="92">
        <f>(Total_overview!F7*'Real Estate'!H19)*E6</f>
        <v>2198.1959999999999</v>
      </c>
      <c r="G6" s="92">
        <f>F6*10.764</f>
        <v>23661.381743999998</v>
      </c>
      <c r="H6" s="322">
        <f>$G$6*D6</f>
        <v>22478312.656799998</v>
      </c>
      <c r="I6" s="308"/>
    </row>
    <row r="7" spans="3:9" ht="15" thickBot="1">
      <c r="C7" s="306">
        <v>20</v>
      </c>
      <c r="D7" s="306">
        <v>1050</v>
      </c>
      <c r="E7" s="327">
        <f>C7/$C$8</f>
        <v>0.05</v>
      </c>
      <c r="F7" s="98">
        <f>(Total_overview!F7*'Real Estate'!H19)*E7</f>
        <v>1099.098</v>
      </c>
      <c r="G7" s="98">
        <f>F7*10.764</f>
        <v>11830.690871999999</v>
      </c>
      <c r="H7" s="328">
        <f>$G$7*D7</f>
        <v>12422225.4156</v>
      </c>
      <c r="I7" s="306"/>
    </row>
    <row r="8" spans="3:9">
      <c r="C8" s="53">
        <f>SUM(C4:C7)</f>
        <v>400</v>
      </c>
      <c r="D8" s="53"/>
      <c r="E8" s="53"/>
      <c r="F8" s="53"/>
      <c r="G8" s="88">
        <f>SUM(G4:G7)</f>
        <v>236613.81744000001</v>
      </c>
      <c r="H8" s="329">
        <f>SUM(H4:H7)</f>
        <v>157348188.59759998</v>
      </c>
      <c r="I8" s="53" t="s">
        <v>400</v>
      </c>
    </row>
    <row r="9" spans="3:9">
      <c r="C9" s="308"/>
      <c r="D9" s="308"/>
      <c r="E9" s="308"/>
      <c r="F9" s="308"/>
      <c r="G9" s="308"/>
      <c r="H9" s="308"/>
      <c r="I9" s="308"/>
    </row>
    <row r="10" spans="3:9">
      <c r="C10" s="308"/>
      <c r="D10" s="308"/>
      <c r="E10" s="308"/>
      <c r="F10" s="308"/>
      <c r="G10" s="323" t="s">
        <v>391</v>
      </c>
      <c r="H10" s="324">
        <f>H8/G8</f>
        <v>664.99999999999989</v>
      </c>
      <c r="I10" s="308" t="s">
        <v>408</v>
      </c>
    </row>
    <row r="11" spans="3:9" ht="15" thickBot="1">
      <c r="C11" s="308"/>
      <c r="D11" s="308"/>
      <c r="E11" s="308"/>
      <c r="F11" s="308"/>
      <c r="G11" s="325" t="str">
        <f>IF(Total_overview!N4=1,"€","$")</f>
        <v>€</v>
      </c>
      <c r="H11" s="326">
        <f>Total_overview!F30/10.764</f>
        <v>373.38368834600681</v>
      </c>
      <c r="I11" s="306" t="s">
        <v>406</v>
      </c>
    </row>
    <row r="12" spans="3:9">
      <c r="C12" s="308"/>
      <c r="D12" s="308"/>
      <c r="E12" s="308"/>
      <c r="F12" s="308"/>
      <c r="G12" s="320"/>
      <c r="H12" s="330">
        <f>H10-H11</f>
        <v>291.61631165399308</v>
      </c>
      <c r="I12" s="308" t="s">
        <v>401</v>
      </c>
    </row>
    <row r="13" spans="3:9">
      <c r="C13" s="308"/>
      <c r="D13" s="308"/>
      <c r="E13" s="308"/>
      <c r="F13" s="308"/>
      <c r="G13" s="320"/>
      <c r="H13" s="324"/>
      <c r="I13" s="308"/>
    </row>
    <row r="14" spans="3:9">
      <c r="C14" s="308"/>
      <c r="D14" s="308"/>
      <c r="E14" s="308"/>
      <c r="F14" s="308"/>
      <c r="G14" s="308"/>
    </row>
    <row r="15" spans="3:9">
      <c r="C15" s="81" t="s">
        <v>389</v>
      </c>
      <c r="D15" s="53"/>
      <c r="E15" s="53"/>
      <c r="F15" s="53"/>
      <c r="G15" s="308"/>
      <c r="H15" s="308"/>
      <c r="I15" s="308"/>
    </row>
    <row r="16" spans="3:9">
      <c r="C16" s="81" t="s">
        <v>413</v>
      </c>
      <c r="D16" s="92"/>
      <c r="E16" s="308"/>
      <c r="F16" s="308"/>
      <c r="G16" s="308"/>
      <c r="H16" s="308"/>
      <c r="I16" s="308"/>
    </row>
    <row r="17" spans="3:9">
      <c r="C17" s="308"/>
      <c r="D17" s="92"/>
      <c r="E17" s="308"/>
      <c r="F17" s="92"/>
      <c r="G17" s="308"/>
      <c r="H17" s="308"/>
      <c r="I17" s="308"/>
    </row>
    <row r="18" spans="3:9">
      <c r="C18" s="308"/>
      <c r="D18" s="308"/>
      <c r="E18" s="308"/>
      <c r="F18" s="53"/>
      <c r="G18" s="92"/>
      <c r="H18" s="308"/>
      <c r="I18" s="308"/>
    </row>
    <row r="19" spans="3:9">
      <c r="C19" s="308"/>
      <c r="D19" s="308"/>
      <c r="E19" s="308"/>
      <c r="F19" s="53"/>
      <c r="G19" s="92"/>
      <c r="H19" s="308"/>
      <c r="I19" s="308"/>
    </row>
    <row r="20" spans="3:9">
      <c r="C20" s="308"/>
      <c r="D20" s="53"/>
      <c r="E20" s="308"/>
      <c r="F20" s="53"/>
      <c r="G20" s="308"/>
      <c r="H20" s="308"/>
      <c r="I20" s="308"/>
    </row>
    <row r="21" spans="3:9">
      <c r="C21" s="308"/>
      <c r="D21" s="92"/>
      <c r="E21" s="308"/>
      <c r="F21" s="92"/>
      <c r="G21" s="308"/>
      <c r="H21" s="308"/>
      <c r="I21" s="308"/>
    </row>
    <row r="22" spans="3:9">
      <c r="C22" s="308"/>
      <c r="D22" s="92"/>
      <c r="E22" s="308"/>
      <c r="F22" s="92"/>
      <c r="G22" s="308"/>
      <c r="H22" s="308"/>
      <c r="I22" s="308"/>
    </row>
    <row r="23" spans="3:9">
      <c r="C23" s="308"/>
      <c r="D23" s="308"/>
      <c r="E23" s="308"/>
      <c r="F23" s="308"/>
      <c r="G23" s="308"/>
      <c r="H23" s="308"/>
      <c r="I23" s="30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/>
  <dimension ref="A2:AD60"/>
  <sheetViews>
    <sheetView workbookViewId="0">
      <selection activeCell="K28" sqref="K28"/>
    </sheetView>
  </sheetViews>
  <sheetFormatPr baseColWidth="10" defaultColWidth="8.83203125" defaultRowHeight="14" x14ac:dyDescent="0"/>
  <cols>
    <col min="1" max="1" width="8.83203125" style="81"/>
    <col min="2" max="2" width="2.5" style="81" customWidth="1"/>
    <col min="3" max="3" width="15.33203125" style="81" customWidth="1"/>
    <col min="4" max="4" width="10.5" style="81" customWidth="1"/>
    <col min="5" max="5" width="12" style="81" customWidth="1"/>
    <col min="6" max="6" width="4.83203125" style="81" customWidth="1"/>
    <col min="7" max="7" width="8.83203125" style="126"/>
    <col min="8" max="8" width="8.83203125" style="81"/>
    <col min="9" max="9" width="19.5" style="81" customWidth="1"/>
    <col min="10" max="11" width="9.5" style="81" customWidth="1"/>
    <col min="12" max="12" width="11.5" style="81" customWidth="1"/>
    <col min="13" max="13" width="21.5" style="126" customWidth="1"/>
    <col min="14" max="14" width="8.6640625" style="126" customWidth="1"/>
    <col min="15" max="15" width="9.5" style="126" customWidth="1"/>
    <col min="16" max="16" width="11" style="81" customWidth="1"/>
    <col min="17" max="17" width="21.5" style="81" customWidth="1"/>
    <col min="18" max="18" width="8.1640625" style="81" customWidth="1"/>
    <col min="19" max="19" width="8.83203125" style="81"/>
    <col min="20" max="20" width="11.33203125" style="81" customWidth="1"/>
    <col min="21" max="21" width="12" style="81" customWidth="1"/>
    <col min="22" max="22" width="10.5" style="81" bestFit="1" customWidth="1"/>
    <col min="23" max="30" width="8.83203125" style="81"/>
  </cols>
  <sheetData>
    <row r="2" spans="1:30" ht="18">
      <c r="C2" s="49" t="s">
        <v>156</v>
      </c>
      <c r="J2" s="57"/>
      <c r="K2" s="57"/>
    </row>
    <row r="3" spans="1:30" s="3" customFormat="1" ht="18">
      <c r="A3" s="81"/>
      <c r="B3" s="81"/>
      <c r="C3" s="49"/>
      <c r="D3" s="81"/>
      <c r="E3" s="81"/>
      <c r="F3" s="81"/>
      <c r="G3" s="126"/>
      <c r="H3" s="81"/>
      <c r="I3" s="216"/>
      <c r="J3" s="57"/>
      <c r="K3" s="57"/>
      <c r="L3" s="81"/>
      <c r="M3" s="126"/>
      <c r="N3" s="126"/>
      <c r="O3" s="126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</row>
    <row r="4" spans="1:30" s="3" customFormat="1" ht="18">
      <c r="A4" s="81"/>
      <c r="B4" s="81"/>
      <c r="C4" s="49"/>
      <c r="D4" s="81"/>
      <c r="E4" s="81"/>
      <c r="F4" s="81"/>
      <c r="G4" s="126"/>
      <c r="H4" s="81"/>
      <c r="I4" s="81"/>
      <c r="J4" s="81"/>
      <c r="K4" s="81"/>
      <c r="L4" s="81"/>
      <c r="M4" s="126"/>
      <c r="N4" s="126"/>
      <c r="O4" s="126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</row>
    <row r="5" spans="1:30" ht="6.75" customHeight="1"/>
    <row r="6" spans="1:30" ht="16">
      <c r="C6" s="127" t="s">
        <v>189</v>
      </c>
      <c r="D6" s="210" t="s">
        <v>150</v>
      </c>
      <c r="E6" s="189" t="s">
        <v>151</v>
      </c>
      <c r="F6" s="57"/>
      <c r="G6" s="204" t="s">
        <v>309</v>
      </c>
      <c r="H6" s="57"/>
      <c r="I6" s="140" t="s">
        <v>343</v>
      </c>
      <c r="J6" s="57"/>
      <c r="K6" s="57"/>
      <c r="L6" s="57"/>
      <c r="M6" s="53" t="s">
        <v>344</v>
      </c>
      <c r="N6" s="230" t="s">
        <v>96</v>
      </c>
      <c r="O6" s="230" t="s">
        <v>97</v>
      </c>
      <c r="Q6" s="53" t="s">
        <v>201</v>
      </c>
      <c r="R6" s="230" t="s">
        <v>96</v>
      </c>
      <c r="S6" s="230" t="s">
        <v>97</v>
      </c>
      <c r="T6" s="153" t="s">
        <v>61</v>
      </c>
      <c r="U6" s="153"/>
      <c r="V6" s="153"/>
      <c r="W6" s="153"/>
    </row>
    <row r="7" spans="1:30">
      <c r="C7" s="113" t="s">
        <v>69</v>
      </c>
      <c r="D7" s="114">
        <f>D16*G7</f>
        <v>200.4</v>
      </c>
      <c r="E7" s="190">
        <f>E16*G7</f>
        <v>752.1</v>
      </c>
      <c r="F7" s="57"/>
      <c r="G7" s="202">
        <v>0.06</v>
      </c>
      <c r="H7" s="57"/>
      <c r="I7" s="57"/>
      <c r="J7" s="57"/>
      <c r="K7" s="57"/>
      <c r="L7" s="57"/>
      <c r="M7" s="60" t="s">
        <v>95</v>
      </c>
      <c r="N7" s="138"/>
      <c r="O7" s="138"/>
      <c r="Q7" s="60" t="s">
        <v>68</v>
      </c>
      <c r="R7" s="60"/>
      <c r="S7" s="60"/>
      <c r="T7" s="138" t="s">
        <v>50</v>
      </c>
      <c r="U7" s="138" t="s">
        <v>51</v>
      </c>
      <c r="V7" s="60"/>
      <c r="W7" s="60"/>
    </row>
    <row r="8" spans="1:30" ht="15" customHeight="1">
      <c r="C8" s="4" t="s">
        <v>70</v>
      </c>
      <c r="D8" s="92">
        <f>D16*G8</f>
        <v>634.6</v>
      </c>
      <c r="E8" s="191">
        <f>E16*G8</f>
        <v>2381.65</v>
      </c>
      <c r="F8" s="57"/>
      <c r="G8" s="202">
        <v>0.19</v>
      </c>
      <c r="H8" s="57"/>
      <c r="I8" s="217" t="s">
        <v>85</v>
      </c>
      <c r="J8" s="113" t="s">
        <v>86</v>
      </c>
      <c r="K8" s="160"/>
      <c r="L8" s="57"/>
      <c r="M8" s="233" t="s">
        <v>94</v>
      </c>
      <c r="N8" s="234">
        <f>ROUNDUP(D16/((((J18*17%)*J13)/1000*24)*365), 0)</f>
        <v>5</v>
      </c>
      <c r="O8" s="235">
        <f>ROUNDUP(E16/(((((J18*17%)*J13)/1000)*24)*365), 0)</f>
        <v>19</v>
      </c>
      <c r="Q8" s="233" t="s">
        <v>94</v>
      </c>
      <c r="R8" s="234">
        <f>ROUNDUP(N8/'Real Estate'!H48, 0)</f>
        <v>3</v>
      </c>
      <c r="S8" s="235">
        <f>ROUNDUP(O8/'Real Estate'!H48, 0)</f>
        <v>10</v>
      </c>
      <c r="T8" s="67">
        <f>R8*'Real Estate'!H$40</f>
        <v>675</v>
      </c>
      <c r="U8" s="67">
        <f>S8*'Real Estate'!H40</f>
        <v>2250</v>
      </c>
      <c r="V8" s="67"/>
      <c r="W8" s="273"/>
    </row>
    <row r="9" spans="1:30" ht="16">
      <c r="C9" s="4" t="s">
        <v>71</v>
      </c>
      <c r="D9" s="92">
        <f>D16*G9</f>
        <v>434.2</v>
      </c>
      <c r="E9" s="191">
        <f>E16*G9</f>
        <v>1629.55</v>
      </c>
      <c r="F9" s="57"/>
      <c r="G9" s="202">
        <v>0.13</v>
      </c>
      <c r="H9" s="57"/>
      <c r="I9" s="218" t="s">
        <v>87</v>
      </c>
      <c r="J9" s="4" t="s">
        <v>88</v>
      </c>
      <c r="K9" s="12"/>
      <c r="L9" s="57"/>
      <c r="M9" s="233" t="s">
        <v>316</v>
      </c>
      <c r="N9" s="236">
        <f>N8*J13</f>
        <v>9.0309899999999992</v>
      </c>
      <c r="O9" s="236">
        <f>O8*J13</f>
        <v>34.317762000000002</v>
      </c>
      <c r="Q9" s="233" t="s">
        <v>316</v>
      </c>
      <c r="R9" s="184">
        <f>R8*J13</f>
        <v>5.4185939999999997</v>
      </c>
      <c r="S9" s="184">
        <f>S8*J13</f>
        <v>18.061979999999998</v>
      </c>
      <c r="T9" s="67">
        <f>R9*'Real Estate'!H$40</f>
        <v>1219.1836499999999</v>
      </c>
      <c r="U9" s="67">
        <f>S9*'Real Estate'!H$40</f>
        <v>4063.9454999999998</v>
      </c>
      <c r="W9" s="273"/>
    </row>
    <row r="10" spans="1:30">
      <c r="C10" s="4" t="s">
        <v>66</v>
      </c>
      <c r="D10" s="92">
        <f>D16*G10</f>
        <v>300.59999999999997</v>
      </c>
      <c r="E10" s="191">
        <f>E16*G10</f>
        <v>1128.1499999999999</v>
      </c>
      <c r="F10" s="57"/>
      <c r="G10" s="202">
        <v>0.09</v>
      </c>
      <c r="H10" s="57"/>
      <c r="I10" s="219" t="s">
        <v>90</v>
      </c>
      <c r="J10" s="13" t="s">
        <v>91</v>
      </c>
      <c r="K10" s="15"/>
      <c r="L10" s="57"/>
      <c r="T10" s="67"/>
      <c r="U10" s="67"/>
      <c r="W10" s="273"/>
    </row>
    <row r="11" spans="1:30" ht="17">
      <c r="C11" s="4" t="s">
        <v>72</v>
      </c>
      <c r="D11" s="92">
        <f>D16*G11</f>
        <v>267.2</v>
      </c>
      <c r="E11" s="191">
        <f>E16*G11</f>
        <v>1002.8000000000001</v>
      </c>
      <c r="F11" s="57"/>
      <c r="G11" s="202">
        <v>0.08</v>
      </c>
      <c r="H11" s="57"/>
      <c r="I11" s="220" t="s">
        <v>353</v>
      </c>
      <c r="J11" s="225">
        <v>300</v>
      </c>
      <c r="K11" s="12" t="s">
        <v>93</v>
      </c>
      <c r="L11" s="57"/>
      <c r="M11" s="232" t="s">
        <v>317</v>
      </c>
      <c r="N11" s="138"/>
      <c r="O11" s="138"/>
      <c r="Q11" s="60" t="s">
        <v>36</v>
      </c>
      <c r="R11" s="138"/>
      <c r="S11" s="138"/>
      <c r="T11" s="60"/>
      <c r="U11" s="60"/>
      <c r="W11" s="273"/>
    </row>
    <row r="12" spans="1:30">
      <c r="C12" s="4" t="s">
        <v>73</v>
      </c>
      <c r="D12" s="92">
        <f>D16*G12</f>
        <v>233.8</v>
      </c>
      <c r="E12" s="191">
        <f>E16*G12</f>
        <v>877.45</v>
      </c>
      <c r="F12" s="57"/>
      <c r="G12" s="203">
        <v>7.0000000000000007E-2</v>
      </c>
      <c r="H12" s="57"/>
      <c r="I12" s="220" t="s">
        <v>89</v>
      </c>
      <c r="J12" s="226">
        <v>0.17</v>
      </c>
      <c r="K12" s="12"/>
      <c r="L12" s="57"/>
      <c r="M12" s="233" t="s">
        <v>94</v>
      </c>
      <c r="N12" s="234">
        <f>ROUNDUP((D30*100)/((((J18*17%)*J13)/1000*24)*365), 0)</f>
        <v>12</v>
      </c>
      <c r="O12" s="234">
        <f>ROUNDUP((E30*100)/((((J18*17%)*J13)/1000*24)*365), 0)</f>
        <v>29</v>
      </c>
      <c r="Q12" s="233" t="s">
        <v>94</v>
      </c>
      <c r="R12" s="11">
        <f>ROUNDUP(N12/4, 0)</f>
        <v>3</v>
      </c>
      <c r="S12" s="11">
        <f>ROUNDUP(O12/4, 0)</f>
        <v>8</v>
      </c>
      <c r="T12" s="67">
        <f>R12*'Real Estate'!H40</f>
        <v>675</v>
      </c>
      <c r="U12" s="67">
        <f>S12*'Real Estate'!H40</f>
        <v>1800</v>
      </c>
      <c r="W12" s="273"/>
    </row>
    <row r="13" spans="1:30" ht="16">
      <c r="C13" s="4" t="s">
        <v>74</v>
      </c>
      <c r="D13" s="92">
        <f>D16*G13</f>
        <v>66.8</v>
      </c>
      <c r="E13" s="191">
        <f>E16*G13</f>
        <v>250.70000000000002</v>
      </c>
      <c r="F13" s="57"/>
      <c r="G13" s="202">
        <v>0.02</v>
      </c>
      <c r="H13" s="57"/>
      <c r="I13" s="220" t="s">
        <v>92</v>
      </c>
      <c r="J13" s="227">
        <f>1959*922/1000000</f>
        <v>1.806198</v>
      </c>
      <c r="K13" s="12" t="s">
        <v>147</v>
      </c>
      <c r="L13" s="57"/>
      <c r="M13" s="233" t="s">
        <v>316</v>
      </c>
      <c r="N13" s="236">
        <f>N12*J13</f>
        <v>21.674375999999999</v>
      </c>
      <c r="O13" s="236">
        <f>O12*J13</f>
        <v>52.379742</v>
      </c>
      <c r="Q13" s="233" t="s">
        <v>316</v>
      </c>
      <c r="R13" s="184">
        <f>R12*J13</f>
        <v>5.4185939999999997</v>
      </c>
      <c r="S13" s="184">
        <f>S12*J13</f>
        <v>14.449584</v>
      </c>
      <c r="T13" s="67">
        <f>R13*'Real Estate'!H$40</f>
        <v>1219.1836499999999</v>
      </c>
      <c r="U13" s="67">
        <f>S13*'Real Estate'!H$40</f>
        <v>3251.1563999999998</v>
      </c>
      <c r="W13" s="273"/>
    </row>
    <row r="14" spans="1:30" ht="16">
      <c r="C14" s="13" t="s">
        <v>75</v>
      </c>
      <c r="D14" s="137">
        <f>D16*G14</f>
        <v>1202.3999999999999</v>
      </c>
      <c r="E14" s="192">
        <f>E16*G14</f>
        <v>4512.5999999999995</v>
      </c>
      <c r="F14" s="57"/>
      <c r="G14" s="202">
        <v>0.36</v>
      </c>
      <c r="H14" s="57"/>
      <c r="I14" s="220" t="s">
        <v>194</v>
      </c>
      <c r="J14" s="150"/>
      <c r="K14" s="106"/>
      <c r="L14" s="57"/>
      <c r="T14" s="67"/>
      <c r="U14" s="67"/>
      <c r="W14" s="273"/>
    </row>
    <row r="15" spans="1:30" ht="16">
      <c r="C15" s="4"/>
      <c r="D15" s="114"/>
      <c r="E15" s="190"/>
      <c r="F15" s="57"/>
      <c r="G15" s="11"/>
      <c r="H15" s="57"/>
      <c r="I15" s="221" t="s">
        <v>67</v>
      </c>
      <c r="J15" s="4">
        <v>6</v>
      </c>
      <c r="K15" s="12" t="s">
        <v>152</v>
      </c>
      <c r="L15" s="57"/>
      <c r="M15" s="60" t="s">
        <v>196</v>
      </c>
      <c r="N15" s="138"/>
      <c r="O15" s="138"/>
      <c r="Q15" s="60" t="s">
        <v>170</v>
      </c>
      <c r="R15" s="138"/>
      <c r="S15" s="138"/>
      <c r="T15" s="60"/>
      <c r="U15" s="60"/>
      <c r="W15" s="273"/>
    </row>
    <row r="16" spans="1:30" ht="16">
      <c r="C16" s="127" t="s">
        <v>61</v>
      </c>
      <c r="D16" s="211">
        <v>3340</v>
      </c>
      <c r="E16" s="194">
        <v>12535</v>
      </c>
      <c r="F16" s="57" t="s">
        <v>76</v>
      </c>
      <c r="G16" s="11"/>
      <c r="H16" s="57"/>
      <c r="I16" s="221" t="s">
        <v>161</v>
      </c>
      <c r="J16" s="4">
        <v>5.5</v>
      </c>
      <c r="K16" s="12" t="s">
        <v>152</v>
      </c>
      <c r="L16" s="57"/>
      <c r="M16" s="233" t="s">
        <v>94</v>
      </c>
      <c r="N16" s="235">
        <f>ROUNDUP(D44/((((J18*17%)*J13)/1000*24)*365), 0)</f>
        <v>13</v>
      </c>
      <c r="O16" s="235">
        <f>ROUNDUP(E44/((((J18*17%)*J13)/1000*24)*365), 0)</f>
        <v>24</v>
      </c>
      <c r="Q16" s="233" t="s">
        <v>94</v>
      </c>
      <c r="R16" s="11">
        <f>ROUNDUP((D44/((((J18*17%)*J13)/1000*24)*365))/'Hidden input'!P2, 0)</f>
        <v>9</v>
      </c>
      <c r="S16" s="11">
        <f>ROUNDUP((E44/((((J18*17%)*J13)/1000*24)*365))/'Hidden input'!P2, 0)</f>
        <v>16</v>
      </c>
      <c r="T16" s="67">
        <f>R16*'Real Estate'!H29</f>
        <v>450</v>
      </c>
      <c r="U16" s="67">
        <f>S16*'Real Estate'!H29</f>
        <v>800</v>
      </c>
      <c r="W16" s="275"/>
    </row>
    <row r="17" spans="3:21" ht="16">
      <c r="C17" s="57"/>
      <c r="D17" s="57"/>
      <c r="E17" s="57"/>
      <c r="F17" s="57"/>
      <c r="G17" s="11"/>
      <c r="H17" s="57"/>
      <c r="I17" s="220" t="s">
        <v>211</v>
      </c>
      <c r="J17" s="150"/>
      <c r="K17" s="106"/>
      <c r="M17" s="233" t="s">
        <v>316</v>
      </c>
      <c r="N17" s="184">
        <f>N16*J13</f>
        <v>23.480574000000001</v>
      </c>
      <c r="O17" s="184">
        <f>O16*J13</f>
        <v>43.348751999999998</v>
      </c>
      <c r="Q17" s="233" t="s">
        <v>316</v>
      </c>
      <c r="R17" s="184">
        <f>R16*J13</f>
        <v>16.255782</v>
      </c>
      <c r="S17" s="184">
        <f>S16*J13</f>
        <v>28.899168</v>
      </c>
      <c r="T17" s="67">
        <f>R17*'Real Estate'!H$29</f>
        <v>812.78909999999996</v>
      </c>
      <c r="U17" s="67">
        <f>S17*'Real Estate'!H$29</f>
        <v>1444.9584</v>
      </c>
    </row>
    <row r="18" spans="3:21" ht="16">
      <c r="C18" s="57"/>
      <c r="D18" s="57"/>
      <c r="E18" s="57"/>
      <c r="F18" s="57"/>
      <c r="G18" s="11"/>
      <c r="H18" s="57"/>
      <c r="I18" s="221" t="s">
        <v>67</v>
      </c>
      <c r="J18" s="4">
        <f>J15*1000/24</f>
        <v>250</v>
      </c>
      <c r="K18" s="12" t="s">
        <v>212</v>
      </c>
      <c r="Q18" s="237"/>
      <c r="R18" s="237"/>
      <c r="S18" s="237"/>
    </row>
    <row r="19" spans="3:21" ht="16">
      <c r="C19" s="127" t="s">
        <v>190</v>
      </c>
      <c r="D19" s="210" t="s">
        <v>153</v>
      </c>
      <c r="E19" s="189" t="s">
        <v>154</v>
      </c>
      <c r="F19" s="57"/>
      <c r="G19" s="204" t="s">
        <v>309</v>
      </c>
      <c r="H19" s="57"/>
      <c r="I19" s="222" t="s">
        <v>161</v>
      </c>
      <c r="J19" s="288">
        <f>J16*1000/24</f>
        <v>229.16666666666666</v>
      </c>
      <c r="K19" s="15" t="s">
        <v>212</v>
      </c>
      <c r="M19" s="126" t="s">
        <v>404</v>
      </c>
    </row>
    <row r="20" spans="3:21">
      <c r="C20" s="113" t="s">
        <v>69</v>
      </c>
      <c r="D20" s="212">
        <f>D30*G20</f>
        <v>3.6527999999999996</v>
      </c>
      <c r="E20" s="195">
        <f>E30*G20</f>
        <v>9.072000000000001</v>
      </c>
      <c r="F20" s="57"/>
      <c r="G20" s="205">
        <v>4.8000000000000001E-2</v>
      </c>
      <c r="H20" s="57"/>
      <c r="I20" s="8" t="s">
        <v>81</v>
      </c>
      <c r="J20" s="57"/>
      <c r="K20" s="57"/>
      <c r="L20" s="57"/>
      <c r="M20" s="53" t="s">
        <v>345</v>
      </c>
      <c r="N20" s="230" t="s">
        <v>96</v>
      </c>
      <c r="O20" s="230" t="s">
        <v>97</v>
      </c>
      <c r="Q20" s="53" t="s">
        <v>207</v>
      </c>
      <c r="R20" s="230" t="s">
        <v>96</v>
      </c>
      <c r="S20" s="230" t="s">
        <v>97</v>
      </c>
    </row>
    <row r="21" spans="3:21">
      <c r="C21" s="4" t="s">
        <v>70</v>
      </c>
      <c r="D21" s="213">
        <f>D30*G21</f>
        <v>10.806199999999999</v>
      </c>
      <c r="E21" s="196">
        <f>E30*G21</f>
        <v>26.837999999999997</v>
      </c>
      <c r="F21" s="57"/>
      <c r="G21" s="205">
        <v>0.14199999999999999</v>
      </c>
      <c r="H21" s="57"/>
      <c r="I21" s="57" t="s">
        <v>82</v>
      </c>
      <c r="J21" s="57"/>
      <c r="K21" s="57"/>
      <c r="L21" s="57"/>
      <c r="M21" s="60" t="s">
        <v>95</v>
      </c>
      <c r="N21" s="138"/>
      <c r="O21" s="138"/>
      <c r="Q21" s="60" t="s">
        <v>68</v>
      </c>
      <c r="R21" s="138"/>
      <c r="S21" s="138"/>
    </row>
    <row r="22" spans="3:21">
      <c r="C22" s="4" t="s">
        <v>77</v>
      </c>
      <c r="D22" s="213">
        <f>D30*G22</f>
        <v>6.5445999999999991</v>
      </c>
      <c r="E22" s="196">
        <f>E30*G22</f>
        <v>16.253999999999998</v>
      </c>
      <c r="F22" s="57"/>
      <c r="G22" s="205">
        <v>8.5999999999999993E-2</v>
      </c>
      <c r="H22" s="57"/>
      <c r="I22" s="57"/>
      <c r="J22" s="57"/>
      <c r="K22" s="57"/>
      <c r="L22" s="57"/>
      <c r="M22" s="233" t="s">
        <v>94</v>
      </c>
      <c r="N22" s="234">
        <f>ROUNDUP(D16/((((J19*17%)*J13)/1000*24)*365), 0)</f>
        <v>6</v>
      </c>
      <c r="O22" s="235">
        <f>ROUNDUP(E16/((((J19*17%)*J13)/1000*24)*365), 0)</f>
        <v>21</v>
      </c>
      <c r="Q22" s="233" t="s">
        <v>94</v>
      </c>
      <c r="R22" s="11">
        <f>ROUNDUP((D16/((((J19*17%)*J13)/1000*24)*365))/'Hidden input'!I8, 0)</f>
        <v>3</v>
      </c>
      <c r="S22" s="11">
        <f>ROUNDUP((E16/((((J19*17%)*J13)/1000*24)*365))/'Hidden input'!I8, 0)</f>
        <v>9</v>
      </c>
    </row>
    <row r="23" spans="3:21" ht="16">
      <c r="C23" s="4" t="s">
        <v>71</v>
      </c>
      <c r="D23" s="213">
        <f>D30*G23</f>
        <v>29.678999999999998</v>
      </c>
      <c r="E23" s="196">
        <f>E30*G23</f>
        <v>73.710000000000008</v>
      </c>
      <c r="F23" s="57"/>
      <c r="G23" s="205">
        <v>0.39</v>
      </c>
      <c r="H23" s="57"/>
      <c r="I23" s="127" t="s">
        <v>342</v>
      </c>
      <c r="J23" s="210" t="s">
        <v>96</v>
      </c>
      <c r="K23" s="189" t="s">
        <v>97</v>
      </c>
      <c r="M23" s="233" t="s">
        <v>316</v>
      </c>
      <c r="N23" s="236">
        <f>N22*J13</f>
        <v>10.837187999999999</v>
      </c>
      <c r="O23" s="236">
        <f>O22*J13</f>
        <v>37.930157999999999</v>
      </c>
      <c r="Q23" s="233" t="s">
        <v>316</v>
      </c>
      <c r="R23" s="184">
        <f>R22*J13</f>
        <v>5.4185939999999997</v>
      </c>
      <c r="S23" s="184">
        <f>S22*J13</f>
        <v>16.255782</v>
      </c>
    </row>
    <row r="24" spans="3:21">
      <c r="C24" s="4" t="s">
        <v>66</v>
      </c>
      <c r="D24" s="213">
        <f>D30*G24</f>
        <v>0.76100000000000001</v>
      </c>
      <c r="E24" s="196">
        <f>E30*G24</f>
        <v>1.8900000000000001</v>
      </c>
      <c r="F24" s="57"/>
      <c r="G24" s="205">
        <v>0.01</v>
      </c>
      <c r="H24" s="57"/>
      <c r="I24" s="113" t="s">
        <v>243</v>
      </c>
      <c r="J24" s="114">
        <f>(D16*'Real Estate'!H40)/'Real Estate'!H48</f>
        <v>375750</v>
      </c>
      <c r="K24" s="190">
        <f>(E16*'Real Estate'!H40)/'Real Estate'!H48</f>
        <v>1410187.5</v>
      </c>
    </row>
    <row r="25" spans="3:21" ht="16">
      <c r="C25" s="4" t="s">
        <v>72</v>
      </c>
      <c r="D25" s="213">
        <f>D30*G25</f>
        <v>3.6527999999999996</v>
      </c>
      <c r="E25" s="196">
        <f>E30*G25</f>
        <v>9.072000000000001</v>
      </c>
      <c r="F25" s="57"/>
      <c r="G25" s="205">
        <v>4.8000000000000001E-2</v>
      </c>
      <c r="H25" s="57"/>
      <c r="I25" s="4" t="s">
        <v>244</v>
      </c>
      <c r="J25" s="92">
        <f>'Real Estate'!H24*'Real Estate'!H40*D30</f>
        <v>428062.49999999994</v>
      </c>
      <c r="K25" s="191">
        <f>'Real Estate'!H24*'Real Estate'!H40*E30</f>
        <v>1063125</v>
      </c>
      <c r="M25" s="232" t="s">
        <v>317</v>
      </c>
      <c r="N25" s="138"/>
      <c r="O25" s="138"/>
      <c r="Q25" s="60" t="s">
        <v>36</v>
      </c>
      <c r="R25" s="138"/>
      <c r="S25" s="138"/>
    </row>
    <row r="26" spans="3:21">
      <c r="C26" s="4" t="s">
        <v>78</v>
      </c>
      <c r="D26" s="213">
        <f>D30*G26</f>
        <v>3.2722999999999995</v>
      </c>
      <c r="E26" s="196">
        <f>E30*G26</f>
        <v>8.1269999999999989</v>
      </c>
      <c r="F26" s="57"/>
      <c r="G26" s="206">
        <v>4.2999999999999997E-2</v>
      </c>
      <c r="H26" s="57"/>
      <c r="I26" s="13" t="s">
        <v>245</v>
      </c>
      <c r="J26" s="137">
        <f>D44*'Real Estate'!H47</f>
        <v>257130</v>
      </c>
      <c r="K26" s="192">
        <f>E44*'Real Estate'!H47</f>
        <v>468780</v>
      </c>
      <c r="M26" s="233" t="s">
        <v>94</v>
      </c>
      <c r="N26" s="234">
        <f>ROUNDUP((D30*100)/((((J19*17%)*J13)/1000*24)*365), 0)</f>
        <v>13</v>
      </c>
      <c r="O26" s="234">
        <f>ROUNDUP((E30*100)/((((J19*17%)*J13)/1000*24)*365), 0)</f>
        <v>31</v>
      </c>
      <c r="Q26" s="233" t="s">
        <v>94</v>
      </c>
      <c r="R26" s="11">
        <f>ROUNDUP(((D30*100)/((((J19*17%)*J13)/1000*24)*365))/4, 0)</f>
        <v>4</v>
      </c>
      <c r="S26" s="11">
        <f>ROUNDUP(((E30*100)/((((J19*17%)*J13)/1000*24)*365))/4, 0)</f>
        <v>8</v>
      </c>
    </row>
    <row r="27" spans="3:21" ht="15" customHeight="1">
      <c r="C27" s="4" t="s">
        <v>79</v>
      </c>
      <c r="D27" s="213">
        <f>D30*G27</f>
        <v>7.9143999999999988</v>
      </c>
      <c r="E27" s="196">
        <f>E30*G27</f>
        <v>19.655999999999999</v>
      </c>
      <c r="F27" s="57"/>
      <c r="G27" s="205">
        <v>0.104</v>
      </c>
      <c r="H27" s="57"/>
      <c r="I27" s="141"/>
      <c r="J27" s="211"/>
      <c r="K27" s="194"/>
      <c r="M27" s="233" t="s">
        <v>316</v>
      </c>
      <c r="N27" s="236">
        <f>N26*J13</f>
        <v>23.480574000000001</v>
      </c>
      <c r="O27" s="236">
        <f>O26*J13</f>
        <v>55.992137999999997</v>
      </c>
      <c r="Q27" s="233" t="s">
        <v>316</v>
      </c>
      <c r="R27" s="184">
        <f>R26*J13</f>
        <v>7.2247919999999999</v>
      </c>
      <c r="S27" s="184">
        <f>S26*J13</f>
        <v>14.449584</v>
      </c>
    </row>
    <row r="28" spans="3:21" ht="15" customHeight="1">
      <c r="C28" s="13" t="s">
        <v>80</v>
      </c>
      <c r="D28" s="214">
        <f>D30*G28</f>
        <v>9.8169000000000004</v>
      </c>
      <c r="E28" s="197">
        <f>E30*G28</f>
        <v>24.381</v>
      </c>
      <c r="F28" s="57"/>
      <c r="G28" s="205">
        <v>0.129</v>
      </c>
      <c r="H28" s="57"/>
      <c r="I28" s="108" t="s">
        <v>246</v>
      </c>
      <c r="J28" s="92">
        <f>SUM(J24:J26)</f>
        <v>1060942.5</v>
      </c>
      <c r="K28" s="191">
        <f>SUM(K24:K26)</f>
        <v>2942092.5</v>
      </c>
    </row>
    <row r="29" spans="3:21">
      <c r="C29" s="4"/>
      <c r="D29" s="11"/>
      <c r="E29" s="12"/>
      <c r="F29" s="57"/>
      <c r="G29" s="11"/>
      <c r="H29" s="57"/>
      <c r="I29" s="4" t="s">
        <v>247</v>
      </c>
      <c r="J29" s="92">
        <f>T8+T12+T16</f>
        <v>1800</v>
      </c>
      <c r="K29" s="191">
        <f>U8+U12+U16</f>
        <v>4850</v>
      </c>
      <c r="M29" s="60" t="s">
        <v>95</v>
      </c>
      <c r="N29" s="138"/>
      <c r="O29" s="138"/>
      <c r="Q29" s="60" t="s">
        <v>170</v>
      </c>
      <c r="R29" s="138"/>
      <c r="S29" s="138"/>
    </row>
    <row r="30" spans="3:21" ht="15" customHeight="1">
      <c r="C30" s="127" t="s">
        <v>61</v>
      </c>
      <c r="D30" s="215">
        <v>76.099999999999994</v>
      </c>
      <c r="E30" s="194">
        <v>189</v>
      </c>
      <c r="F30" s="57" t="s">
        <v>155</v>
      </c>
      <c r="G30" s="11"/>
      <c r="H30" s="57"/>
      <c r="I30" s="13" t="s">
        <v>248</v>
      </c>
      <c r="J30" s="137">
        <f>T17+T13+T9</f>
        <v>3251.1563999999998</v>
      </c>
      <c r="K30" s="192">
        <f>U9+U13+U17</f>
        <v>8760.0602999999992</v>
      </c>
      <c r="M30" s="233" t="s">
        <v>94</v>
      </c>
      <c r="N30" s="61">
        <f>ROUNDUP(D44/((((J19*17%)*J13)/1000*24)*365), 0)</f>
        <v>14</v>
      </c>
      <c r="O30" s="61">
        <f>ROUNDUP(E44/((((J19*17%)*J13)/1000*24)*365), 0)</f>
        <v>26</v>
      </c>
      <c r="Q30" s="233" t="s">
        <v>94</v>
      </c>
      <c r="R30" s="11">
        <f>ROUNDUP((D44/((((J19*17%)*J13)/1000*24)*365))/'Hidden input'!P2, 0)</f>
        <v>10</v>
      </c>
      <c r="S30" s="11">
        <f>ROUNDUP((E44/((((J19*17%)*J13)/1000*24)*365))/'Hidden input'!P2, 0)</f>
        <v>17</v>
      </c>
    </row>
    <row r="31" spans="3:21" ht="16">
      <c r="D31" s="126"/>
      <c r="E31" s="126"/>
      <c r="G31" s="11"/>
      <c r="H31" s="57"/>
      <c r="K31" s="126"/>
      <c r="M31" s="233" t="s">
        <v>316</v>
      </c>
      <c r="N31" s="184">
        <f>N30*J13</f>
        <v>25.286771999999999</v>
      </c>
      <c r="O31" s="184">
        <f>O30*J13</f>
        <v>46.961148000000001</v>
      </c>
      <c r="Q31" s="233" t="s">
        <v>316</v>
      </c>
      <c r="R31" s="184">
        <f>R30*J13</f>
        <v>18.061979999999998</v>
      </c>
      <c r="S31" s="184">
        <f>S30*J13</f>
        <v>30.705365999999998</v>
      </c>
    </row>
    <row r="32" spans="3:21">
      <c r="D32" s="126"/>
      <c r="E32" s="126"/>
      <c r="H32" s="57"/>
      <c r="K32" s="126"/>
      <c r="M32" s="231"/>
    </row>
    <row r="33" spans="1:30" ht="16">
      <c r="C33" s="127" t="s">
        <v>191</v>
      </c>
      <c r="D33" s="210" t="s">
        <v>193</v>
      </c>
      <c r="E33" s="189" t="s">
        <v>192</v>
      </c>
      <c r="F33" s="57"/>
      <c r="G33" s="204" t="s">
        <v>309</v>
      </c>
      <c r="H33" s="57"/>
      <c r="I33" s="141" t="s">
        <v>308</v>
      </c>
      <c r="J33" s="223">
        <f>J28/365</f>
        <v>2906.6917808219177</v>
      </c>
      <c r="K33" s="224">
        <f>K28/365</f>
        <v>8060.5273972602736</v>
      </c>
    </row>
    <row r="34" spans="1:30">
      <c r="C34" s="113" t="s">
        <v>69</v>
      </c>
      <c r="D34" s="212">
        <f>D44*G34</f>
        <v>496.86944099999999</v>
      </c>
      <c r="E34" s="195">
        <f>E44*G34</f>
        <v>905.85484600000007</v>
      </c>
      <c r="G34" s="205">
        <v>5.7971000000000002E-2</v>
      </c>
      <c r="H34" s="57"/>
    </row>
    <row r="35" spans="1:30">
      <c r="C35" s="4" t="s">
        <v>70</v>
      </c>
      <c r="D35" s="213">
        <f>D44*G35</f>
        <v>993.73888199999999</v>
      </c>
      <c r="E35" s="196">
        <f>E44*G35</f>
        <v>1811.7096920000001</v>
      </c>
      <c r="G35" s="205">
        <v>0.115942</v>
      </c>
      <c r="H35" s="57"/>
      <c r="J35" s="92"/>
    </row>
    <row r="36" spans="1:30">
      <c r="C36" s="4" t="s">
        <v>77</v>
      </c>
      <c r="D36" s="213">
        <f>D44*G36</f>
        <v>621.05466000000001</v>
      </c>
      <c r="E36" s="196">
        <f>E44*G36</f>
        <v>1132.2599599999999</v>
      </c>
      <c r="G36" s="205">
        <v>7.2459999999999997E-2</v>
      </c>
      <c r="J36" s="92"/>
    </row>
    <row r="37" spans="1:30">
      <c r="C37" s="4" t="s">
        <v>71</v>
      </c>
      <c r="D37" s="213">
        <f>D44*G37</f>
        <v>4471.8249689999993</v>
      </c>
      <c r="E37" s="196">
        <f>E44*G37</f>
        <v>8152.6936139999989</v>
      </c>
      <c r="G37" s="205">
        <v>0.52173899999999995</v>
      </c>
    </row>
    <row r="38" spans="1:30">
      <c r="C38" s="4" t="s">
        <v>66</v>
      </c>
      <c r="D38" s="213">
        <f>D44*G38</f>
        <v>372.65216645999999</v>
      </c>
      <c r="E38" s="196">
        <f>E44*G38</f>
        <v>679.39129075999995</v>
      </c>
      <c r="G38" s="205">
        <v>4.3478259999999998E-2</v>
      </c>
    </row>
    <row r="39" spans="1:30">
      <c r="C39" s="4" t="s">
        <v>72</v>
      </c>
      <c r="D39" s="213">
        <f>D44*G39</f>
        <v>372.65216645999999</v>
      </c>
      <c r="E39" s="196">
        <f>E44*G39</f>
        <v>679.39129075999995</v>
      </c>
      <c r="G39" s="205">
        <v>4.3478259999999998E-2</v>
      </c>
    </row>
    <row r="40" spans="1:30" ht="15" customHeight="1">
      <c r="C40" s="4" t="s">
        <v>74</v>
      </c>
      <c r="D40" s="213">
        <f>D44*G40</f>
        <v>124.19378999999999</v>
      </c>
      <c r="E40" s="196">
        <f>E44*G40</f>
        <v>226.42074</v>
      </c>
      <c r="G40" s="206">
        <v>1.4489999999999999E-2</v>
      </c>
    </row>
    <row r="41" spans="1:30">
      <c r="C41" s="4" t="s">
        <v>79</v>
      </c>
      <c r="D41" s="213">
        <f>D44*G41</f>
        <v>248.4347205</v>
      </c>
      <c r="E41" s="196">
        <f>E44*G41</f>
        <v>452.92742300000003</v>
      </c>
      <c r="G41" s="205">
        <v>2.8985500000000001E-2</v>
      </c>
    </row>
    <row r="42" spans="1:30">
      <c r="C42" s="13" t="s">
        <v>80</v>
      </c>
      <c r="D42" s="214">
        <f>D44*G42</f>
        <v>869.51937899999996</v>
      </c>
      <c r="E42" s="197">
        <f>E44*G42</f>
        <v>1585.242074</v>
      </c>
      <c r="G42" s="205">
        <v>0.101449</v>
      </c>
    </row>
    <row r="43" spans="1:30">
      <c r="C43" s="4"/>
      <c r="D43" s="11"/>
      <c r="E43" s="12"/>
    </row>
    <row r="44" spans="1:30">
      <c r="C44" s="127" t="s">
        <v>61</v>
      </c>
      <c r="D44" s="215">
        <v>8571</v>
      </c>
      <c r="E44" s="194">
        <v>15626</v>
      </c>
      <c r="F44" s="57" t="s">
        <v>188</v>
      </c>
    </row>
    <row r="45" spans="1:30" s="3" customFormat="1">
      <c r="A45" s="81"/>
      <c r="B45" s="81"/>
      <c r="C45" s="53"/>
      <c r="D45" s="213"/>
      <c r="E45" s="92"/>
      <c r="F45" s="57"/>
      <c r="G45" s="126"/>
      <c r="H45" s="81"/>
      <c r="I45" s="81"/>
      <c r="J45" s="81"/>
      <c r="K45" s="81"/>
      <c r="L45" s="81"/>
      <c r="M45" s="126"/>
      <c r="N45" s="126"/>
      <c r="O45" s="126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</row>
    <row r="46" spans="1:30" s="3" customFormat="1">
      <c r="A46" s="81"/>
      <c r="B46" s="81"/>
      <c r="C46" s="53"/>
      <c r="D46" s="213"/>
      <c r="E46" s="92"/>
      <c r="F46" s="57"/>
      <c r="G46" s="126"/>
      <c r="H46" s="81"/>
      <c r="I46" s="81"/>
      <c r="J46" s="81"/>
      <c r="K46" s="81"/>
      <c r="L46" s="81"/>
      <c r="M46" s="126"/>
      <c r="N46" s="126"/>
      <c r="O46" s="126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</row>
    <row r="47" spans="1:30" s="3" customFormat="1">
      <c r="A47" s="81"/>
      <c r="B47" s="81"/>
      <c r="C47" s="53"/>
      <c r="D47" s="213"/>
      <c r="E47" s="92"/>
      <c r="F47" s="57"/>
      <c r="G47" s="126"/>
      <c r="H47" s="81"/>
      <c r="I47" s="81"/>
      <c r="J47" s="81"/>
      <c r="K47" s="81"/>
      <c r="L47" s="81"/>
      <c r="M47" s="126"/>
      <c r="N47" s="126"/>
      <c r="O47" s="126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</row>
    <row r="48" spans="1:30">
      <c r="I48" s="57"/>
    </row>
    <row r="49" spans="1:30" s="264" customFormat="1" ht="18">
      <c r="A49" s="265"/>
      <c r="B49" s="94"/>
      <c r="C49" s="262" t="s">
        <v>265</v>
      </c>
      <c r="D49" s="263"/>
      <c r="E49" s="263"/>
      <c r="F49" s="263"/>
      <c r="G49" s="263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</row>
    <row r="50" spans="1:30">
      <c r="C50" s="57"/>
      <c r="D50" s="57"/>
      <c r="E50" s="57"/>
      <c r="F50" s="57"/>
      <c r="G50" s="11"/>
      <c r="H50" s="57"/>
      <c r="I50" s="57"/>
      <c r="J50" s="57"/>
      <c r="K50" s="57"/>
      <c r="L50" s="57"/>
      <c r="M50" s="11"/>
      <c r="N50" s="11"/>
      <c r="O50" s="11"/>
    </row>
    <row r="51" spans="1:30">
      <c r="C51" s="198" t="s">
        <v>167</v>
      </c>
      <c r="D51" s="199"/>
      <c r="E51" s="199"/>
      <c r="F51" s="199"/>
      <c r="G51" s="207"/>
      <c r="H51" s="57"/>
      <c r="I51" s="57"/>
      <c r="J51" s="57"/>
      <c r="K51" s="57"/>
      <c r="L51" s="57"/>
      <c r="M51" s="11"/>
      <c r="N51" s="11"/>
      <c r="O51" s="11"/>
    </row>
    <row r="52" spans="1:30">
      <c r="C52" s="199" t="s">
        <v>83</v>
      </c>
      <c r="D52" s="200"/>
      <c r="E52" s="200"/>
      <c r="F52" s="200"/>
    </row>
    <row r="53" spans="1:30">
      <c r="C53" s="200" t="s">
        <v>84</v>
      </c>
      <c r="D53" s="200"/>
      <c r="E53" s="200"/>
      <c r="F53" s="200"/>
      <c r="G53" s="208"/>
    </row>
    <row r="54" spans="1:30">
      <c r="C54" s="200" t="s">
        <v>129</v>
      </c>
      <c r="D54" s="200"/>
      <c r="E54" s="200"/>
      <c r="F54" s="200"/>
      <c r="G54" s="208"/>
    </row>
    <row r="55" spans="1:30">
      <c r="C55" s="200" t="s">
        <v>128</v>
      </c>
      <c r="D55" s="201"/>
      <c r="E55" s="201"/>
      <c r="F55" s="201"/>
      <c r="G55" s="209"/>
    </row>
    <row r="56" spans="1:30">
      <c r="C56" s="347" t="s">
        <v>352</v>
      </c>
      <c r="D56" s="347"/>
      <c r="E56" s="347"/>
      <c r="F56" s="347"/>
      <c r="G56" s="347"/>
    </row>
    <row r="57" spans="1:30">
      <c r="C57" s="347"/>
      <c r="D57" s="347"/>
      <c r="E57" s="347"/>
      <c r="F57" s="347"/>
      <c r="G57" s="347"/>
    </row>
    <row r="58" spans="1:30">
      <c r="C58" s="199" t="s">
        <v>198</v>
      </c>
      <c r="D58" s="199"/>
      <c r="E58" s="199"/>
      <c r="F58" s="199"/>
      <c r="G58" s="207"/>
    </row>
    <row r="59" spans="1:30">
      <c r="C59" s="199" t="s">
        <v>197</v>
      </c>
    </row>
    <row r="60" spans="1:30">
      <c r="C60" s="200" t="s">
        <v>195</v>
      </c>
    </row>
  </sheetData>
  <mergeCells count="1">
    <mergeCell ref="C56:G57"/>
  </mergeCells>
  <hyperlinks>
    <hyperlink ref="C53" r:id="rId1"/>
    <hyperlink ref="C55" r:id="rId2" display="[3] Environmental Barometer NL, 2012"/>
    <hyperlink ref="C54" r:id="rId3"/>
    <hyperlink ref="C60" r:id="rId4" display="[6] http://maps.nrel.gov/SWERA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" operator="greaterThan" id="{07CCB570-D586-471F-8614-F3CD49D8FE7B}">
            <xm:f>'Real Estate'!$H$37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lessThan" id="{B6317238-8AAD-490D-AC59-27B366F45D63}">
            <xm:f>'Real Estate'!$H$37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R9:S9</xm:sqref>
        </x14:conditionalFormatting>
        <x14:conditionalFormatting xmlns:xm="http://schemas.microsoft.com/office/excel/2006/main">
          <x14:cfRule type="cellIs" priority="27" operator="lessThan" id="{79E111A6-17AD-4C92-9485-C69F707C68EE}">
            <xm:f>'Real Estate'!$H$37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8" operator="greaterThan" id="{483C1532-3EB0-47A2-82F2-19B84BD45E5C}">
            <xm:f>'Real Estate'!$H$37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R13:S13 R17:S17 R31:S31</xm:sqref>
        </x14:conditionalFormatting>
        <x14:conditionalFormatting xmlns:xm="http://schemas.microsoft.com/office/excel/2006/main">
          <x14:cfRule type="cellIs" priority="13" operator="lessThan" id="{A035C451-4881-45A3-907F-F908DE3C7383}">
            <xm:f>'Real Estate'!$H$37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4" operator="greaterThan" id="{7E3DAC52-6CE9-4866-94C5-CDA1F1EB6031}">
            <xm:f>'Real Estate'!$H$37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R17:S17</xm:sqref>
        </x14:conditionalFormatting>
        <x14:conditionalFormatting xmlns:xm="http://schemas.microsoft.com/office/excel/2006/main">
          <x14:cfRule type="cellIs" priority="1" operator="lessThan" id="{7379745D-764C-42B6-B571-A2AF44FCFD15}">
            <xm:f>'Real Estate'!$H$37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greaterThan" id="{12245C3C-1455-4D23-ACF9-ED9F2A6C2C60}">
            <xm:f>'Real Estate'!$H$37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R31:S31</xm:sqref>
        </x14:conditionalFormatting>
        <x14:conditionalFormatting xmlns:xm="http://schemas.microsoft.com/office/excel/2006/main">
          <x14:cfRule type="cellIs" priority="3" operator="greaterThan" id="{D5B9BCA9-3919-4E73-9229-0C927423B3D2}">
            <xm:f>'Real Estate'!$H$37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lessThan" id="{D740D398-5A5C-4EF7-9397-66ED7DC3B1C8}">
            <xm:f>'Real Estate'!$H$37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R23:S23</xm:sqref>
        </x14:conditionalFormatting>
        <x14:conditionalFormatting xmlns:xm="http://schemas.microsoft.com/office/excel/2006/main">
          <x14:cfRule type="cellIs" priority="5" operator="lessThan" id="{F5DBC9D0-848E-4411-BEED-2FF351F6F5AA}">
            <xm:f>'Real Estate'!$H$37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" operator="greaterThan" id="{956E3B95-87EA-4643-916F-653E4C5EECE5}">
            <xm:f>'Real Estate'!$H$37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R27:S27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/>
  <dimension ref="A2:R58"/>
  <sheetViews>
    <sheetView topLeftCell="B1" workbookViewId="0">
      <selection activeCell="J2" sqref="J2"/>
    </sheetView>
  </sheetViews>
  <sheetFormatPr baseColWidth="10" defaultColWidth="8.83203125" defaultRowHeight="14" x14ac:dyDescent="0"/>
  <cols>
    <col min="1" max="1" width="8.83203125" style="81"/>
    <col min="2" max="2" width="2.5" style="81" customWidth="1"/>
    <col min="3" max="3" width="24" style="81" customWidth="1"/>
    <col min="4" max="4" width="8.5" style="81" customWidth="1"/>
    <col min="5" max="5" width="11.1640625" style="81" customWidth="1"/>
    <col min="6" max="6" width="3.5" style="81" customWidth="1"/>
    <col min="7" max="7" width="7.1640625" style="157" customWidth="1"/>
    <col min="8" max="8" width="7.1640625" style="81" customWidth="1"/>
    <col min="9" max="9" width="16" style="81" customWidth="1"/>
    <col min="10" max="10" width="7" style="81" customWidth="1"/>
    <col min="11" max="12" width="8.83203125" style="81"/>
    <col min="13" max="13" width="16.6640625" style="81" customWidth="1"/>
    <col min="14" max="14" width="10.83203125" style="81" customWidth="1"/>
    <col min="15" max="15" width="10.83203125" style="81" bestFit="1" customWidth="1"/>
    <col min="16" max="16384" width="8.83203125" style="81"/>
  </cols>
  <sheetData>
    <row r="2" spans="3:18" ht="18">
      <c r="C2" s="49" t="s">
        <v>160</v>
      </c>
    </row>
    <row r="3" spans="3:18">
      <c r="C3" s="57" t="s">
        <v>49</v>
      </c>
    </row>
    <row r="4" spans="3:18">
      <c r="D4" s="57"/>
      <c r="E4" s="57"/>
      <c r="F4" s="57"/>
      <c r="G4" s="158"/>
      <c r="H4" s="57"/>
      <c r="I4" s="57"/>
      <c r="J4" s="57"/>
      <c r="K4" s="57"/>
      <c r="L4" s="57"/>
      <c r="M4" s="57"/>
      <c r="N4" s="57"/>
      <c r="O4" s="57"/>
    </row>
    <row r="5" spans="3:18" ht="6.75" customHeight="1">
      <c r="C5" s="57"/>
      <c r="D5" s="57"/>
      <c r="E5" s="57"/>
      <c r="F5" s="57"/>
      <c r="G5" s="158"/>
      <c r="H5" s="57"/>
      <c r="I5" s="57"/>
      <c r="J5" s="57"/>
      <c r="K5" s="57"/>
      <c r="L5" s="57"/>
      <c r="M5" s="57"/>
      <c r="N5" s="57"/>
      <c r="O5" s="57"/>
    </row>
    <row r="6" spans="3:18">
      <c r="C6" s="140"/>
      <c r="D6" s="153"/>
      <c r="E6" s="153"/>
      <c r="F6" s="57"/>
      <c r="I6" s="140"/>
      <c r="J6" s="153"/>
      <c r="K6" s="153"/>
      <c r="L6" s="57"/>
    </row>
    <row r="7" spans="3:18">
      <c r="C7" s="127" t="s">
        <v>311</v>
      </c>
      <c r="D7" s="210" t="s">
        <v>50</v>
      </c>
      <c r="E7" s="189" t="s">
        <v>51</v>
      </c>
      <c r="F7" s="57"/>
      <c r="I7" s="127" t="s">
        <v>315</v>
      </c>
      <c r="J7" s="210" t="s">
        <v>50</v>
      </c>
      <c r="K7" s="189" t="s">
        <v>51</v>
      </c>
      <c r="L7" s="57"/>
      <c r="M7" s="140" t="s">
        <v>288</v>
      </c>
      <c r="N7" s="153" t="s">
        <v>68</v>
      </c>
      <c r="O7" s="153" t="s">
        <v>36</v>
      </c>
      <c r="P7" s="153" t="s">
        <v>170</v>
      </c>
      <c r="Q7" s="153" t="s">
        <v>61</v>
      </c>
    </row>
    <row r="8" spans="3:18">
      <c r="C8" s="4" t="s">
        <v>6</v>
      </c>
      <c r="D8" s="11">
        <f>1.4+1.2+0.6</f>
        <v>3.1999999999999997</v>
      </c>
      <c r="E8" s="12">
        <f>$E$17*G8</f>
        <v>2.3199999999999998</v>
      </c>
      <c r="F8" s="57"/>
      <c r="G8" s="159">
        <v>0.01</v>
      </c>
      <c r="I8" s="4" t="s">
        <v>8</v>
      </c>
      <c r="J8" s="11">
        <f>D8+D9+D10+D13</f>
        <v>86.399999999999991</v>
      </c>
      <c r="K8" s="12">
        <f>E8+E9+E10+E13</f>
        <v>141.51999999999998</v>
      </c>
      <c r="L8" s="57"/>
      <c r="M8" s="60" t="s">
        <v>290</v>
      </c>
      <c r="N8" s="60"/>
      <c r="O8" s="60"/>
      <c r="P8" s="60"/>
      <c r="Q8" s="60"/>
      <c r="R8" s="93"/>
    </row>
    <row r="9" spans="3:18">
      <c r="C9" s="4" t="s">
        <v>7</v>
      </c>
      <c r="D9" s="11">
        <f>2.8+48.6</f>
        <v>51.4</v>
      </c>
      <c r="E9" s="12">
        <f>$E$17*G9</f>
        <v>44.08</v>
      </c>
      <c r="F9" s="57"/>
      <c r="G9" s="159">
        <v>0.19</v>
      </c>
      <c r="I9" s="13" t="s">
        <v>11</v>
      </c>
      <c r="J9" s="14">
        <f>D14</f>
        <v>33.700000000000003</v>
      </c>
      <c r="K9" s="15">
        <f>E14</f>
        <v>60.32</v>
      </c>
      <c r="L9" s="57"/>
      <c r="M9" s="57" t="s">
        <v>4</v>
      </c>
      <c r="N9" s="67">
        <f>D12*'Real Estate'!H40</f>
        <v>16222.499999999998</v>
      </c>
      <c r="O9" s="67">
        <f>D20*'Real Estate'!H40</f>
        <v>1968.75</v>
      </c>
      <c r="P9" s="67">
        <f>D30*'Real Estate'!H29</f>
        <v>6150</v>
      </c>
      <c r="Q9" s="93">
        <f>SUM(N9:P9)</f>
        <v>24341.25</v>
      </c>
    </row>
    <row r="10" spans="3:18">
      <c r="C10" s="4" t="s">
        <v>52</v>
      </c>
      <c r="D10" s="11">
        <f>5+3.1+3+5.3+1.1</f>
        <v>17.5</v>
      </c>
      <c r="E10" s="12">
        <f>$E$17*G10</f>
        <v>44.08</v>
      </c>
      <c r="F10" s="57"/>
      <c r="G10" s="159">
        <f>16%+1%+2%</f>
        <v>0.19</v>
      </c>
      <c r="I10" s="57"/>
      <c r="J10" s="57"/>
      <c r="K10" s="57"/>
      <c r="L10" s="57"/>
      <c r="M10" s="57" t="s">
        <v>8</v>
      </c>
      <c r="N10" s="67">
        <f>D15*'Real Estate'!H40</f>
        <v>10800</v>
      </c>
      <c r="O10" s="67">
        <f>D22*'Real Estate'!H40</f>
        <v>4500</v>
      </c>
      <c r="P10" s="67">
        <f>D33*'Real Estate'!H29</f>
        <v>2225</v>
      </c>
      <c r="Q10" s="93">
        <f>SUM(N10:P10)</f>
        <v>17525</v>
      </c>
    </row>
    <row r="11" spans="3:18">
      <c r="C11" s="4" t="s">
        <v>53</v>
      </c>
      <c r="D11" s="11"/>
      <c r="E11" s="12">
        <f>$E$17*G11</f>
        <v>39.440000000000005</v>
      </c>
      <c r="F11" s="57"/>
      <c r="G11" s="159">
        <v>0.17</v>
      </c>
      <c r="I11" s="57"/>
      <c r="J11" s="57"/>
      <c r="K11" s="57"/>
      <c r="L11" s="57"/>
      <c r="M11" s="57"/>
      <c r="N11" s="252"/>
      <c r="O11" s="252"/>
      <c r="P11" s="252"/>
      <c r="Q11" s="93"/>
    </row>
    <row r="12" spans="3:18">
      <c r="C12" s="141" t="s">
        <v>279</v>
      </c>
      <c r="D12" s="16">
        <f>SUM(D8:D10)</f>
        <v>72.099999999999994</v>
      </c>
      <c r="E12" s="142">
        <f>SUM(E8:E10)</f>
        <v>90.47999999999999</v>
      </c>
      <c r="F12" s="57"/>
      <c r="G12" s="81"/>
      <c r="I12" s="57"/>
      <c r="J12" s="57"/>
      <c r="K12" s="57"/>
      <c r="L12" s="57"/>
      <c r="M12" s="60" t="s">
        <v>291</v>
      </c>
      <c r="N12" s="60"/>
      <c r="O12" s="60"/>
      <c r="P12" s="60"/>
      <c r="Q12" s="60"/>
    </row>
    <row r="13" spans="3:18">
      <c r="C13" s="4" t="s">
        <v>357</v>
      </c>
      <c r="D13" s="11">
        <v>14.3</v>
      </c>
      <c r="E13" s="12">
        <f>$E$17*G13</f>
        <v>51.04</v>
      </c>
      <c r="F13" s="57"/>
      <c r="G13" s="159">
        <v>0.22</v>
      </c>
      <c r="I13" s="57"/>
      <c r="J13" s="57"/>
      <c r="K13" s="57"/>
      <c r="L13" s="57"/>
      <c r="M13" s="57" t="s">
        <v>8</v>
      </c>
      <c r="N13" s="67">
        <f>J8*'Real Estate'!H40</f>
        <v>19439.999999999996</v>
      </c>
      <c r="O13" s="67">
        <f>J21*'Real Estate'!H40</f>
        <v>1968.75</v>
      </c>
      <c r="P13" s="67">
        <f>J26*'Real Estate'!H29</f>
        <v>6775</v>
      </c>
      <c r="Q13" s="93">
        <f>SUM(N13:P13)</f>
        <v>28183.749999999996</v>
      </c>
    </row>
    <row r="14" spans="3:18">
      <c r="C14" s="13" t="s">
        <v>9</v>
      </c>
      <c r="D14" s="14">
        <v>33.700000000000003</v>
      </c>
      <c r="E14" s="15">
        <f>$E$17*G14</f>
        <v>60.32</v>
      </c>
      <c r="F14" s="57"/>
      <c r="G14" s="159">
        <v>0.26</v>
      </c>
      <c r="I14" s="57"/>
      <c r="J14" s="57"/>
      <c r="K14" s="57"/>
      <c r="L14" s="57"/>
      <c r="M14" s="57" t="s">
        <v>11</v>
      </c>
      <c r="N14" s="67">
        <f>J9*'Real Estate'!H40</f>
        <v>7582.5000000000009</v>
      </c>
      <c r="O14" s="67">
        <f>J22*'Real Estate'!H40</f>
        <v>4500</v>
      </c>
      <c r="P14" s="67">
        <f>J27*'Real Estate'!H29</f>
        <v>1600</v>
      </c>
      <c r="Q14" s="93">
        <f>SUM(N14:P14)</f>
        <v>13682.5</v>
      </c>
    </row>
    <row r="15" spans="3:18">
      <c r="C15" s="141" t="s">
        <v>280</v>
      </c>
      <c r="D15" s="16">
        <f>SUM(D13:D14)</f>
        <v>48</v>
      </c>
      <c r="E15" s="142">
        <f>SUM(E13,E14)</f>
        <v>111.36</v>
      </c>
      <c r="F15" s="57"/>
      <c r="I15" s="57"/>
      <c r="J15" s="57"/>
      <c r="K15" s="57"/>
      <c r="L15" s="57"/>
      <c r="N15" s="57"/>
      <c r="O15" s="57"/>
      <c r="P15" s="57"/>
    </row>
    <row r="16" spans="3:18">
      <c r="C16" s="150"/>
      <c r="D16" s="126"/>
      <c r="E16" s="106"/>
      <c r="F16" s="57"/>
      <c r="I16" s="57"/>
      <c r="J16" s="57"/>
      <c r="K16" s="57"/>
      <c r="L16" s="57"/>
      <c r="M16" s="140" t="s">
        <v>288</v>
      </c>
      <c r="N16" s="153" t="s">
        <v>68</v>
      </c>
      <c r="O16" s="153" t="s">
        <v>36</v>
      </c>
      <c r="P16" s="153" t="s">
        <v>170</v>
      </c>
      <c r="Q16" s="153" t="s">
        <v>61</v>
      </c>
    </row>
    <row r="17" spans="3:18">
      <c r="C17" s="127" t="s">
        <v>281</v>
      </c>
      <c r="D17" s="128">
        <f>D12+D15</f>
        <v>120.1</v>
      </c>
      <c r="E17" s="151">
        <v>232</v>
      </c>
      <c r="F17" s="57" t="s">
        <v>282</v>
      </c>
      <c r="I17" s="57"/>
      <c r="J17" s="57"/>
      <c r="K17" s="57"/>
      <c r="L17" s="57"/>
      <c r="M17" s="60" t="s">
        <v>290</v>
      </c>
      <c r="N17" s="60"/>
      <c r="O17" s="60"/>
      <c r="P17" s="60"/>
      <c r="Q17" s="60"/>
    </row>
    <row r="18" spans="3:18">
      <c r="F18" s="57"/>
      <c r="I18" s="57"/>
      <c r="J18" s="57"/>
      <c r="K18" s="57"/>
      <c r="L18" s="57"/>
      <c r="M18" s="57" t="s">
        <v>4</v>
      </c>
      <c r="N18" s="67">
        <f>E12*'Real Estate'!$H$40</f>
        <v>20357.999999999996</v>
      </c>
      <c r="O18" s="67">
        <f>(E20+E21)*'Real Estate'!$H$40</f>
        <v>5265.0000000000009</v>
      </c>
      <c r="P18" s="67">
        <f>E30*'Real Estate'!$H$29</f>
        <v>12850.746268656718</v>
      </c>
      <c r="Q18" s="93">
        <f>SUM(N18:P18)</f>
        <v>38473.746268656716</v>
      </c>
    </row>
    <row r="19" spans="3:18">
      <c r="C19" s="127" t="s">
        <v>312</v>
      </c>
      <c r="D19" s="210" t="s">
        <v>50</v>
      </c>
      <c r="E19" s="189" t="s">
        <v>51</v>
      </c>
      <c r="L19" s="57"/>
      <c r="M19" s="57" t="s">
        <v>8</v>
      </c>
      <c r="N19" s="67">
        <f>E15*'Real Estate'!H40</f>
        <v>25056</v>
      </c>
      <c r="O19" s="67">
        <f>E22*'Real Estate'!H40</f>
        <v>5534.9999999999991</v>
      </c>
      <c r="P19" s="67">
        <f>E33*'Real Estate'!H29</f>
        <v>4649.253731343284</v>
      </c>
      <c r="Q19" s="93">
        <f>SUM(N19:P19)</f>
        <v>35240.253731343284</v>
      </c>
    </row>
    <row r="20" spans="3:18">
      <c r="C20" s="113" t="s">
        <v>4</v>
      </c>
      <c r="D20" s="125">
        <f>H51</f>
        <v>8.75</v>
      </c>
      <c r="E20" s="160">
        <f>J49*(J44+J45)</f>
        <v>5.9999999999999991</v>
      </c>
      <c r="F20" s="57"/>
      <c r="G20" s="158">
        <f>E17/D17</f>
        <v>1.9317235636969192</v>
      </c>
      <c r="I20" s="127" t="s">
        <v>313</v>
      </c>
      <c r="J20" s="210" t="s">
        <v>50</v>
      </c>
      <c r="K20" s="189" t="s">
        <v>51</v>
      </c>
      <c r="L20" s="57"/>
      <c r="N20" s="67"/>
      <c r="O20" s="67"/>
      <c r="P20" s="67"/>
      <c r="Q20" s="93"/>
    </row>
    <row r="21" spans="3:18">
      <c r="C21" s="4" t="s">
        <v>58</v>
      </c>
      <c r="D21" s="11"/>
      <c r="E21" s="12">
        <f>J49*(J46+J48)</f>
        <v>17.400000000000002</v>
      </c>
      <c r="F21" s="57"/>
      <c r="G21" s="158">
        <f>D20/D24</f>
        <v>0.30434782608695654</v>
      </c>
      <c r="I21" s="4" t="s">
        <v>8</v>
      </c>
      <c r="J21" s="11">
        <f>D20</f>
        <v>8.75</v>
      </c>
      <c r="K21" s="12">
        <f>E20+E21</f>
        <v>23.400000000000002</v>
      </c>
      <c r="L21" s="57"/>
      <c r="M21" s="60" t="s">
        <v>291</v>
      </c>
      <c r="N21" s="60"/>
      <c r="O21" s="60"/>
      <c r="P21" s="60"/>
      <c r="Q21" s="60"/>
    </row>
    <row r="22" spans="3:18">
      <c r="C22" s="13" t="s">
        <v>8</v>
      </c>
      <c r="D22" s="14">
        <f>H50</f>
        <v>20</v>
      </c>
      <c r="E22" s="15">
        <f>J49*(J47)</f>
        <v>24.599999999999998</v>
      </c>
      <c r="F22" s="57"/>
      <c r="G22" s="158">
        <f>D22/D24</f>
        <v>0.69565217391304346</v>
      </c>
      <c r="I22" s="13" t="s">
        <v>11</v>
      </c>
      <c r="J22" s="14">
        <f>D22</f>
        <v>20</v>
      </c>
      <c r="K22" s="15">
        <f>E22</f>
        <v>24.599999999999998</v>
      </c>
      <c r="L22" s="57"/>
      <c r="M22" s="57" t="s">
        <v>8</v>
      </c>
      <c r="N22" s="67">
        <f>K8*'Real Estate'!H40</f>
        <v>31841.999999999996</v>
      </c>
      <c r="O22" s="67">
        <f>K21*'Real Estate'!H40</f>
        <v>5265.0000000000009</v>
      </c>
      <c r="P22" s="67">
        <f>K26*'Real Estate'!H29</f>
        <v>14156.716417910446</v>
      </c>
      <c r="Q22" s="93">
        <f>SUM(N22:P22)</f>
        <v>51263.716417910444</v>
      </c>
    </row>
    <row r="23" spans="3:18">
      <c r="C23" s="4"/>
      <c r="D23" s="11"/>
      <c r="E23" s="12"/>
      <c r="F23" s="57"/>
      <c r="I23" s="125"/>
      <c r="J23" s="125"/>
      <c r="K23" s="125"/>
      <c r="L23" s="57"/>
      <c r="M23" s="57" t="s">
        <v>11</v>
      </c>
      <c r="N23" s="67">
        <f>K9*'Real Estate'!H40</f>
        <v>13572</v>
      </c>
      <c r="O23" s="67">
        <f>K22*'Real Estate'!H40</f>
        <v>5534.9999999999991</v>
      </c>
      <c r="P23" s="67">
        <f>K27*'Real Estate'!H29</f>
        <v>3343.2835820895521</v>
      </c>
      <c r="Q23" s="93">
        <f>SUM(N23:P23)</f>
        <v>22450.283582089553</v>
      </c>
    </row>
    <row r="24" spans="3:18">
      <c r="C24" s="127" t="s">
        <v>54</v>
      </c>
      <c r="D24" s="128">
        <f>H46</f>
        <v>28.75</v>
      </c>
      <c r="E24" s="161">
        <f>60-(J43*60)</f>
        <v>48</v>
      </c>
      <c r="F24" s="57"/>
      <c r="I24" s="14"/>
      <c r="J24" s="14"/>
      <c r="K24" s="14"/>
      <c r="L24" s="57"/>
    </row>
    <row r="25" spans="3:18">
      <c r="F25" s="57"/>
      <c r="I25" s="127" t="s">
        <v>314</v>
      </c>
      <c r="J25" s="210" t="s">
        <v>50</v>
      </c>
      <c r="K25" s="189" t="s">
        <v>51</v>
      </c>
      <c r="L25" s="57"/>
      <c r="M25" s="57"/>
      <c r="N25" s="167" t="s">
        <v>68</v>
      </c>
      <c r="O25" s="167" t="s">
        <v>299</v>
      </c>
      <c r="P25" s="167" t="s">
        <v>170</v>
      </c>
    </row>
    <row r="26" spans="3:18">
      <c r="C26" s="127" t="s">
        <v>310</v>
      </c>
      <c r="D26" s="210" t="s">
        <v>50</v>
      </c>
      <c r="E26" s="189" t="s">
        <v>51</v>
      </c>
      <c r="F26" s="57"/>
      <c r="I26" s="4" t="s">
        <v>8</v>
      </c>
      <c r="J26" s="11">
        <f>D27+D28+D29+D31</f>
        <v>135.5</v>
      </c>
      <c r="K26" s="228">
        <f>E27+E28+E29+E31</f>
        <v>283.1343283582089</v>
      </c>
      <c r="L26" s="57"/>
      <c r="M26" s="60" t="s">
        <v>298</v>
      </c>
      <c r="N26" s="60"/>
      <c r="O26" s="60"/>
      <c r="P26" s="60"/>
      <c r="Q26" s="60"/>
    </row>
    <row r="27" spans="3:18">
      <c r="C27" s="4" t="s">
        <v>6</v>
      </c>
      <c r="D27" s="11">
        <f>D49+D50</f>
        <v>7</v>
      </c>
      <c r="E27" s="166">
        <f t="shared" ref="E27:E32" si="0">G27*$E$35</f>
        <v>14.626865671641792</v>
      </c>
      <c r="F27" s="57"/>
      <c r="G27" s="164">
        <f t="shared" ref="G27:G32" si="1">D27/$D$35</f>
        <v>4.1791044776119404E-2</v>
      </c>
      <c r="I27" s="13" t="s">
        <v>11</v>
      </c>
      <c r="J27" s="14">
        <f>D32</f>
        <v>32</v>
      </c>
      <c r="K27" s="229">
        <f>E32</f>
        <v>66.865671641791039</v>
      </c>
      <c r="L27" s="57"/>
      <c r="M27" s="57"/>
      <c r="N27" s="67">
        <f>'Rainwater collection Residentia'!F65*('Real Estate'!H40/'Real Estate'!H34)</f>
        <v>25355531.25</v>
      </c>
      <c r="O27" s="67">
        <f>'Rainwater collection Office'!H65*('Real Estate'!H45-'Real Estate'!H42)</f>
        <v>10142212.5</v>
      </c>
      <c r="P27" s="67">
        <f>'Rainwater collection Hotel'!H65</f>
        <v>3380737.5</v>
      </c>
    </row>
    <row r="28" spans="3:18">
      <c r="C28" s="4" t="s">
        <v>7</v>
      </c>
      <c r="D28" s="11">
        <f>D44</f>
        <v>100</v>
      </c>
      <c r="E28" s="166">
        <f t="shared" si="0"/>
        <v>208.955223880597</v>
      </c>
      <c r="F28" s="57"/>
      <c r="G28" s="164">
        <f t="shared" si="1"/>
        <v>0.59701492537313428</v>
      </c>
      <c r="I28" s="57"/>
      <c r="J28" s="57"/>
      <c r="K28" s="57"/>
      <c r="L28" s="57"/>
      <c r="M28" s="57" t="s">
        <v>306</v>
      </c>
      <c r="N28" s="67">
        <f>N9*365</f>
        <v>5921212.4999999991</v>
      </c>
      <c r="O28" s="67">
        <f>O9*365</f>
        <v>718593.75</v>
      </c>
      <c r="P28" s="67">
        <f>P9*365</f>
        <v>2244750</v>
      </c>
      <c r="R28" s="185" t="s">
        <v>304</v>
      </c>
    </row>
    <row r="29" spans="3:18">
      <c r="C29" s="4" t="s">
        <v>5</v>
      </c>
      <c r="D29" s="11">
        <f>D48+D46+D52</f>
        <v>16</v>
      </c>
      <c r="E29" s="166">
        <f t="shared" si="0"/>
        <v>33.432835820895519</v>
      </c>
      <c r="F29" s="57"/>
      <c r="G29" s="164">
        <f t="shared" si="1"/>
        <v>9.5522388059701493E-2</v>
      </c>
      <c r="H29" s="57"/>
      <c r="I29" s="57"/>
      <c r="J29" s="57"/>
      <c r="K29" s="57"/>
      <c r="L29" s="57"/>
      <c r="M29" s="57" t="s">
        <v>305</v>
      </c>
      <c r="N29" s="67">
        <f>N18*365</f>
        <v>7430669.9999999991</v>
      </c>
      <c r="O29" s="67">
        <f>O18*365</f>
        <v>1921725.0000000002</v>
      </c>
      <c r="P29" s="67">
        <f>P18*365</f>
        <v>4690522.3880597018</v>
      </c>
      <c r="R29" s="186" t="s">
        <v>358</v>
      </c>
    </row>
    <row r="30" spans="3:18">
      <c r="C30" s="141" t="s">
        <v>279</v>
      </c>
      <c r="D30" s="16">
        <f>SUM(D27:D29)</f>
        <v>123</v>
      </c>
      <c r="E30" s="165">
        <f t="shared" si="0"/>
        <v>257.01492537313436</v>
      </c>
      <c r="F30" s="57"/>
      <c r="G30" s="164">
        <f t="shared" si="1"/>
        <v>0.73432835820895526</v>
      </c>
      <c r="H30" s="57"/>
      <c r="I30" s="57"/>
      <c r="J30" s="57"/>
      <c r="K30" s="57"/>
      <c r="L30" s="57"/>
      <c r="M30" s="57"/>
      <c r="N30" s="67"/>
      <c r="O30" s="67"/>
      <c r="P30" s="67"/>
      <c r="R30" s="67"/>
    </row>
    <row r="31" spans="3:18">
      <c r="C31" s="4" t="s">
        <v>357</v>
      </c>
      <c r="D31" s="11">
        <f>D53</f>
        <v>12.5</v>
      </c>
      <c r="E31" s="166">
        <f t="shared" si="0"/>
        <v>26.119402985074625</v>
      </c>
      <c r="F31" s="57"/>
      <c r="G31" s="164">
        <f t="shared" si="1"/>
        <v>7.4626865671641784E-2</v>
      </c>
      <c r="H31" s="57"/>
      <c r="I31" s="57"/>
      <c r="J31" s="57"/>
      <c r="K31" s="57"/>
      <c r="L31" s="57"/>
      <c r="M31" s="57" t="s">
        <v>307</v>
      </c>
      <c r="N31" s="67">
        <f>N28/12</f>
        <v>493434.37499999994</v>
      </c>
      <c r="O31" s="67">
        <f t="shared" ref="O31:P31" si="2">O28/12</f>
        <v>59882.8125</v>
      </c>
      <c r="P31" s="67">
        <f t="shared" si="2"/>
        <v>187062.5</v>
      </c>
    </row>
    <row r="32" spans="3:18">
      <c r="C32" s="4" t="s">
        <v>9</v>
      </c>
      <c r="D32" s="11">
        <f>D45</f>
        <v>32</v>
      </c>
      <c r="E32" s="166">
        <f t="shared" si="0"/>
        <v>66.865671641791039</v>
      </c>
      <c r="F32" s="57"/>
      <c r="G32" s="164">
        <f t="shared" si="1"/>
        <v>0.19104477611940299</v>
      </c>
      <c r="H32" s="57"/>
      <c r="I32" s="57"/>
      <c r="J32" s="57"/>
      <c r="K32" s="57"/>
      <c r="L32" s="57"/>
      <c r="M32" s="57"/>
      <c r="N32" s="67">
        <f>N29/12</f>
        <v>619222.49999999988</v>
      </c>
      <c r="O32" s="67">
        <f t="shared" ref="O32" si="3">O29/12</f>
        <v>160143.75000000003</v>
      </c>
      <c r="P32" s="67">
        <f>P29/12</f>
        <v>390876.86567164183</v>
      </c>
      <c r="R32" s="57" t="s">
        <v>359</v>
      </c>
    </row>
    <row r="33" spans="1:16">
      <c r="C33" s="141" t="s">
        <v>287</v>
      </c>
      <c r="D33" s="16">
        <f>SUM(D31:D32)</f>
        <v>44.5</v>
      </c>
      <c r="E33" s="165">
        <f>E35*G33</f>
        <v>92.985074626865682</v>
      </c>
      <c r="F33" s="57"/>
      <c r="G33" s="164">
        <f>D33/D35</f>
        <v>0.2656716417910448</v>
      </c>
      <c r="H33" s="57"/>
      <c r="I33" s="57"/>
      <c r="J33" s="57"/>
      <c r="K33" s="57"/>
      <c r="L33" s="57"/>
      <c r="M33" s="57"/>
      <c r="N33" s="272">
        <f>N31/'Real Estate'!H42</f>
        <v>61679.296874999993</v>
      </c>
      <c r="O33" s="272">
        <f>O31/'Real Estate'!H42</f>
        <v>7485.3515625</v>
      </c>
      <c r="P33" s="272">
        <f>P31/'Real Estate'!H42</f>
        <v>23382.8125</v>
      </c>
    </row>
    <row r="34" spans="1:16">
      <c r="C34" s="163"/>
      <c r="D34" s="152"/>
      <c r="E34" s="129"/>
      <c r="F34" s="57"/>
      <c r="G34" s="158"/>
      <c r="H34" s="57"/>
      <c r="I34" s="57"/>
      <c r="J34" s="57"/>
      <c r="K34" s="57"/>
      <c r="N34" s="272">
        <f>(N10*365/12)/'Real Estate'!$H$42</f>
        <v>41062.5</v>
      </c>
      <c r="O34" s="272">
        <f>(O10*365/12)/'Real Estate'!$H$42</f>
        <v>17109.375</v>
      </c>
      <c r="P34" s="272">
        <f>(P10*365/12)/'Real Estate'!$H$42</f>
        <v>8459.6354166666661</v>
      </c>
    </row>
    <row r="35" spans="1:16">
      <c r="C35" s="109" t="s">
        <v>286</v>
      </c>
      <c r="D35" s="128">
        <f>D30+D33</f>
        <v>167.5</v>
      </c>
      <c r="E35" s="151">
        <v>350</v>
      </c>
      <c r="N35" s="171"/>
    </row>
    <row r="38" spans="1:16" s="97" customFormat="1" ht="18">
      <c r="A38" s="96"/>
      <c r="B38" s="96"/>
      <c r="C38" s="95" t="s">
        <v>277</v>
      </c>
      <c r="D38" s="96"/>
      <c r="E38" s="96"/>
      <c r="F38" s="96"/>
    </row>
    <row r="40" spans="1:16">
      <c r="C40" s="143" t="s">
        <v>10</v>
      </c>
    </row>
    <row r="42" spans="1:16" ht="26">
      <c r="C42" s="144" t="s">
        <v>35</v>
      </c>
      <c r="D42" s="144" t="s">
        <v>360</v>
      </c>
      <c r="F42" s="154"/>
      <c r="H42" s="155" t="s">
        <v>36</v>
      </c>
      <c r="J42" s="81" t="s">
        <v>16</v>
      </c>
    </row>
    <row r="43" spans="1:16">
      <c r="C43" s="145" t="s">
        <v>361</v>
      </c>
      <c r="D43" s="146"/>
      <c r="F43" s="154"/>
      <c r="H43" s="156">
        <v>6.9</v>
      </c>
      <c r="I43" s="145" t="s">
        <v>32</v>
      </c>
      <c r="J43" s="147">
        <v>0.2</v>
      </c>
      <c r="K43" s="81" t="s">
        <v>55</v>
      </c>
    </row>
    <row r="44" spans="1:16">
      <c r="C44" s="148" t="s">
        <v>26</v>
      </c>
      <c r="D44" s="146">
        <v>100</v>
      </c>
      <c r="F44" s="154"/>
      <c r="H44" s="156">
        <f>6900</f>
        <v>6900</v>
      </c>
      <c r="I44" s="145" t="s">
        <v>34</v>
      </c>
      <c r="J44" s="147">
        <v>0.01</v>
      </c>
      <c r="K44" s="81" t="s">
        <v>56</v>
      </c>
    </row>
    <row r="45" spans="1:16" ht="26">
      <c r="C45" s="148" t="s">
        <v>9</v>
      </c>
      <c r="D45" s="146">
        <v>32</v>
      </c>
      <c r="F45" s="154"/>
      <c r="H45" s="156"/>
      <c r="I45" s="145" t="s">
        <v>33</v>
      </c>
      <c r="J45" s="147">
        <v>0.09</v>
      </c>
      <c r="K45" s="81" t="s">
        <v>362</v>
      </c>
    </row>
    <row r="46" spans="1:16">
      <c r="C46" s="148" t="s">
        <v>5</v>
      </c>
      <c r="D46" s="146">
        <f>5</f>
        <v>5</v>
      </c>
      <c r="F46" s="154"/>
      <c r="H46" s="156">
        <f>6900/48/5</f>
        <v>28.75</v>
      </c>
      <c r="I46" s="145" t="s">
        <v>363</v>
      </c>
      <c r="J46" s="147">
        <v>0.27</v>
      </c>
      <c r="K46" s="81" t="s">
        <v>57</v>
      </c>
    </row>
    <row r="47" spans="1:16">
      <c r="C47" s="145" t="s">
        <v>21</v>
      </c>
      <c r="D47" s="146"/>
      <c r="F47" s="154"/>
      <c r="H47" s="154"/>
      <c r="I47" s="145" t="s">
        <v>37</v>
      </c>
      <c r="J47" s="147">
        <v>0.41</v>
      </c>
      <c r="K47" s="81" t="s">
        <v>9</v>
      </c>
    </row>
    <row r="48" spans="1:16" ht="26">
      <c r="C48" s="148" t="s">
        <v>29</v>
      </c>
      <c r="D48" s="146">
        <v>1</v>
      </c>
      <c r="F48" s="154"/>
      <c r="H48" s="154">
        <v>4</v>
      </c>
      <c r="I48" s="145" t="s">
        <v>46</v>
      </c>
      <c r="J48" s="147">
        <v>0.02</v>
      </c>
      <c r="K48" s="81" t="s">
        <v>364</v>
      </c>
    </row>
    <row r="49" spans="3:11">
      <c r="C49" s="148" t="s">
        <v>28</v>
      </c>
      <c r="D49" s="146">
        <v>5</v>
      </c>
      <c r="F49" s="154"/>
      <c r="H49" s="154">
        <v>5</v>
      </c>
      <c r="I49" s="145" t="s">
        <v>365</v>
      </c>
      <c r="J49" s="145">
        <v>60</v>
      </c>
      <c r="K49" s="81" t="s">
        <v>366</v>
      </c>
    </row>
    <row r="50" spans="3:11">
      <c r="C50" s="148" t="s">
        <v>4</v>
      </c>
      <c r="D50" s="81">
        <v>2</v>
      </c>
      <c r="F50" s="154"/>
      <c r="H50" s="154">
        <f>H48*H49</f>
        <v>20</v>
      </c>
      <c r="I50" s="145" t="s">
        <v>367</v>
      </c>
    </row>
    <row r="51" spans="3:11" ht="26">
      <c r="C51" s="145" t="s">
        <v>27</v>
      </c>
      <c r="D51" s="146"/>
      <c r="F51" s="154"/>
      <c r="H51" s="154">
        <f>H46-H50</f>
        <v>8.75</v>
      </c>
      <c r="I51" s="145" t="s">
        <v>47</v>
      </c>
    </row>
    <row r="52" spans="3:11">
      <c r="C52" s="148" t="s">
        <v>30</v>
      </c>
      <c r="D52" s="146">
        <v>10</v>
      </c>
      <c r="F52" s="154"/>
      <c r="G52" s="154"/>
    </row>
    <row r="53" spans="3:11">
      <c r="C53" s="148" t="s">
        <v>31</v>
      </c>
      <c r="D53" s="146">
        <v>12.5</v>
      </c>
    </row>
    <row r="54" spans="3:11">
      <c r="C54" s="145" t="s">
        <v>22</v>
      </c>
      <c r="D54" s="146">
        <f>SUM(D44:D53)</f>
        <v>167.5</v>
      </c>
    </row>
    <row r="56" spans="3:11" ht="15">
      <c r="C56" s="149" t="s">
        <v>23</v>
      </c>
    </row>
    <row r="57" spans="3:11" ht="15">
      <c r="C57" s="149" t="s">
        <v>24</v>
      </c>
    </row>
    <row r="58" spans="3:11" ht="15">
      <c r="C58" s="149" t="s">
        <v>25</v>
      </c>
    </row>
  </sheetData>
  <hyperlinks>
    <hyperlink ref="C40" r:id="rId1" display="http://www.infodwi.nl/uploadedFiles/Infodwi/05_-_Voorwaarden_normen_en_uitwerking/WB 2.1 B okt 2011.pdf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 enableFormatConditionsCalculation="0"/>
  <dimension ref="A2:K55"/>
  <sheetViews>
    <sheetView zoomScale="110" zoomScaleNormal="110" zoomScalePageLayoutView="110" workbookViewId="0">
      <selection activeCell="D43" sqref="D43:D44"/>
    </sheetView>
  </sheetViews>
  <sheetFormatPr baseColWidth="10" defaultColWidth="8.83203125" defaultRowHeight="14" x14ac:dyDescent="0"/>
  <cols>
    <col min="1" max="1" width="8.83203125" style="81"/>
    <col min="2" max="2" width="2.5" style="81" customWidth="1"/>
    <col min="3" max="3" width="29.6640625" style="81" customWidth="1"/>
    <col min="4" max="4" width="14.5" style="81" customWidth="1"/>
    <col min="5" max="5" width="10.6640625" style="81" customWidth="1"/>
    <col min="6" max="6" width="11.5" style="81" customWidth="1"/>
    <col min="7" max="7" width="15.5" style="81" customWidth="1"/>
    <col min="8" max="8" width="16.6640625" style="81" customWidth="1"/>
    <col min="9" max="9" width="12.1640625" style="81" customWidth="1"/>
    <col min="10" max="10" width="8.83203125" style="81"/>
    <col min="11" max="11" width="51.5" style="81" customWidth="1"/>
    <col min="12" max="16384" width="8.83203125" style="81"/>
  </cols>
  <sheetData>
    <row r="2" spans="3:9" ht="18">
      <c r="C2" s="49" t="s">
        <v>1</v>
      </c>
    </row>
    <row r="3" spans="3:9">
      <c r="C3" s="140" t="s">
        <v>288</v>
      </c>
      <c r="D3" s="153" t="s">
        <v>68</v>
      </c>
      <c r="E3" s="153" t="s">
        <v>36</v>
      </c>
      <c r="F3" s="153" t="s">
        <v>170</v>
      </c>
    </row>
    <row r="4" spans="3:9">
      <c r="C4" s="60" t="s">
        <v>290</v>
      </c>
      <c r="D4" s="60"/>
      <c r="E4" s="60"/>
      <c r="F4" s="60"/>
    </row>
    <row r="5" spans="3:9">
      <c r="C5" s="57" t="s">
        <v>4</v>
      </c>
      <c r="D5" s="67">
        <f>'Water Demand'!N9</f>
        <v>16222.499999999998</v>
      </c>
      <c r="E5" s="67">
        <f>'Water Demand'!O9</f>
        <v>1968.75</v>
      </c>
      <c r="F5" s="67">
        <f>'Water Demand'!P9</f>
        <v>6150</v>
      </c>
      <c r="I5" s="183"/>
    </row>
    <row r="6" spans="3:9">
      <c r="C6" s="57" t="s">
        <v>289</v>
      </c>
      <c r="D6" s="67">
        <f>'Water Demand'!N10</f>
        <v>10800</v>
      </c>
      <c r="E6" s="67">
        <f>'Water Demand'!O10</f>
        <v>4500</v>
      </c>
      <c r="F6" s="67">
        <f>'Water Demand'!P10</f>
        <v>2225</v>
      </c>
    </row>
    <row r="7" spans="3:9">
      <c r="C7" s="57"/>
      <c r="D7" s="67"/>
      <c r="E7" s="67"/>
      <c r="F7" s="67"/>
    </row>
    <row r="8" spans="3:9">
      <c r="C8" s="60" t="s">
        <v>291</v>
      </c>
      <c r="D8" s="60"/>
      <c r="E8" s="60"/>
      <c r="F8" s="60"/>
    </row>
    <row r="9" spans="3:9">
      <c r="C9" s="57" t="s">
        <v>289</v>
      </c>
      <c r="D9" s="67">
        <f>'Water Demand'!N13</f>
        <v>19439.999999999996</v>
      </c>
      <c r="E9" s="67">
        <f>'Water Demand'!O13</f>
        <v>1968.75</v>
      </c>
      <c r="F9" s="67">
        <f>'Water Demand'!P13</f>
        <v>6775</v>
      </c>
    </row>
    <row r="10" spans="3:9">
      <c r="C10" s="57" t="s">
        <v>11</v>
      </c>
      <c r="D10" s="67">
        <f>'Water Demand'!N14</f>
        <v>7582.5000000000009</v>
      </c>
      <c r="E10" s="67">
        <f>'Water Demand'!O14</f>
        <v>4500</v>
      </c>
      <c r="F10" s="67">
        <f>'Water Demand'!P14</f>
        <v>1600</v>
      </c>
    </row>
    <row r="11" spans="3:9">
      <c r="C11" s="173"/>
      <c r="F11" s="171"/>
      <c r="G11" s="171"/>
    </row>
    <row r="12" spans="3:9">
      <c r="C12" s="255" t="s">
        <v>325</v>
      </c>
      <c r="D12" s="153" t="s">
        <v>68</v>
      </c>
      <c r="E12" s="153" t="s">
        <v>36</v>
      </c>
      <c r="F12" s="153" t="s">
        <v>170</v>
      </c>
      <c r="G12" s="171"/>
    </row>
    <row r="13" spans="3:9">
      <c r="C13" s="60"/>
      <c r="D13" s="60"/>
      <c r="E13" s="60"/>
      <c r="F13" s="60"/>
      <c r="G13" s="171"/>
    </row>
    <row r="14" spans="3:9">
      <c r="C14" s="57" t="s">
        <v>4</v>
      </c>
      <c r="D14" s="67">
        <f>D5/'Real Estate'!$H$42</f>
        <v>2027.8124999999998</v>
      </c>
      <c r="E14" s="67">
        <f>E5/('Real Estate'!$H$45-'Real Estate'!$H$42-1)</f>
        <v>984.375</v>
      </c>
      <c r="F14" s="67">
        <f>F5</f>
        <v>6150</v>
      </c>
      <c r="G14" s="171"/>
      <c r="I14" s="171"/>
    </row>
    <row r="15" spans="3:9">
      <c r="C15" s="57" t="s">
        <v>326</v>
      </c>
      <c r="D15" s="67">
        <f>G36*Total_overview!N4</f>
        <v>19750</v>
      </c>
      <c r="E15" s="67">
        <f>G36*Total_overview!N4</f>
        <v>19750</v>
      </c>
      <c r="F15" s="67">
        <f>G36*Total_overview!N4</f>
        <v>19750</v>
      </c>
      <c r="G15" s="171"/>
    </row>
    <row r="16" spans="3:9">
      <c r="C16" s="57" t="s">
        <v>327</v>
      </c>
      <c r="D16" s="67">
        <f>3000*Total_overview!N4</f>
        <v>3000</v>
      </c>
      <c r="E16" s="67">
        <f>3000*Total_overview!N4</f>
        <v>3000</v>
      </c>
      <c r="F16" s="67">
        <f>3000*Total_overview!N4</f>
        <v>3000</v>
      </c>
      <c r="G16" s="171"/>
    </row>
    <row r="17" spans="3:8">
      <c r="C17" s="57" t="s">
        <v>289</v>
      </c>
      <c r="D17" s="67">
        <f>D6/'Real Estate'!$H$42</f>
        <v>1350</v>
      </c>
      <c r="E17" s="67">
        <f>E6/('Real Estate'!$H$45-'Real Estate'!$H$42-1)</f>
        <v>2250</v>
      </c>
      <c r="F17" s="67">
        <f>F6</f>
        <v>2225</v>
      </c>
      <c r="G17" s="171"/>
    </row>
    <row r="18" spans="3:8">
      <c r="C18" s="57"/>
      <c r="D18" s="67">
        <f>D9/'Real Estate'!$H$42</f>
        <v>2429.9999999999995</v>
      </c>
      <c r="E18" s="67">
        <f>E9/('Real Estate'!$H$45-'Real Estate'!$H$42-1)</f>
        <v>984.375</v>
      </c>
      <c r="F18" s="67">
        <f>F9</f>
        <v>6775</v>
      </c>
      <c r="G18" s="171"/>
    </row>
    <row r="19" spans="3:8">
      <c r="C19" s="57" t="s">
        <v>11</v>
      </c>
      <c r="D19" s="67">
        <f>D10/'Real Estate'!$H$42</f>
        <v>947.81250000000011</v>
      </c>
      <c r="E19" s="67">
        <f>E10/('Real Estate'!$H$45-'Real Estate'!$H$42-1)</f>
        <v>2250</v>
      </c>
      <c r="F19" s="67">
        <f>F10</f>
        <v>1600</v>
      </c>
      <c r="G19" s="171"/>
      <c r="H19" s="171"/>
    </row>
    <row r="20" spans="3:8">
      <c r="C20" s="57" t="s">
        <v>328</v>
      </c>
      <c r="D20" s="67">
        <f>15000*Total_overview!N4</f>
        <v>15000</v>
      </c>
      <c r="E20" s="67">
        <f>15000*Total_overview!N4</f>
        <v>15000</v>
      </c>
      <c r="F20" s="67">
        <f>15000*Total_overview!N4</f>
        <v>15000</v>
      </c>
      <c r="G20" s="171"/>
    </row>
    <row r="21" spans="3:8">
      <c r="C21" s="60"/>
      <c r="D21" s="60"/>
      <c r="E21" s="60"/>
      <c r="F21" s="60"/>
      <c r="G21" s="171"/>
    </row>
    <row r="22" spans="3:8">
      <c r="C22" s="140" t="s">
        <v>278</v>
      </c>
      <c r="D22" s="93">
        <f>SUM(D15:D16,D20)</f>
        <v>37750</v>
      </c>
      <c r="E22" s="93">
        <f t="shared" ref="E22:F22" si="0">SUM(E15:E16,E20)</f>
        <v>37750</v>
      </c>
      <c r="F22" s="93">
        <f t="shared" si="0"/>
        <v>37750</v>
      </c>
      <c r="G22" s="171"/>
    </row>
    <row r="23" spans="3:8">
      <c r="C23" s="57"/>
      <c r="G23" s="171"/>
    </row>
    <row r="24" spans="3:8">
      <c r="C24" s="57"/>
      <c r="G24" s="171"/>
    </row>
    <row r="26" spans="3:8">
      <c r="C26" s="57"/>
      <c r="D26" s="67"/>
      <c r="E26" s="67"/>
      <c r="F26" s="67"/>
      <c r="G26" s="171"/>
    </row>
    <row r="27" spans="3:8">
      <c r="C27" s="173"/>
      <c r="D27" s="171"/>
      <c r="F27" s="171"/>
      <c r="G27" s="171"/>
    </row>
    <row r="28" spans="3:8">
      <c r="C28" s="139"/>
      <c r="D28" s="139"/>
      <c r="G28" s="171"/>
    </row>
    <row r="29" spans="3:8">
      <c r="C29" s="172"/>
      <c r="D29" s="182"/>
      <c r="E29" s="182"/>
      <c r="F29" s="182"/>
      <c r="G29" s="171"/>
    </row>
    <row r="30" spans="3:8">
      <c r="C30" s="174"/>
      <c r="D30" s="171"/>
      <c r="E30" s="171"/>
      <c r="G30" s="171"/>
    </row>
    <row r="31" spans="3:8">
      <c r="D31" s="171"/>
      <c r="E31" s="171"/>
      <c r="G31" s="171"/>
    </row>
    <row r="32" spans="3:8">
      <c r="D32" s="171"/>
      <c r="E32" s="171"/>
      <c r="G32" s="171"/>
    </row>
    <row r="33" spans="1:11" s="264" customFormat="1" ht="18">
      <c r="A33" s="96"/>
      <c r="B33" s="96"/>
      <c r="C33" s="262" t="s">
        <v>337</v>
      </c>
      <c r="E33" s="263"/>
      <c r="F33" s="263"/>
      <c r="G33" s="263"/>
      <c r="H33" s="263"/>
    </row>
    <row r="34" spans="1:11">
      <c r="C34" s="173"/>
    </row>
    <row r="36" spans="1:11">
      <c r="C36" s="175" t="s">
        <v>285</v>
      </c>
      <c r="D36" s="81" t="s">
        <v>292</v>
      </c>
      <c r="E36" s="81">
        <f>(2750+2000)/2</f>
        <v>2375</v>
      </c>
      <c r="G36" s="81">
        <f>(D43+D44)/2</f>
        <v>19750</v>
      </c>
      <c r="J36" s="177"/>
    </row>
    <row r="37" spans="1:11">
      <c r="C37" s="176" t="s">
        <v>283</v>
      </c>
      <c r="D37" s="173" t="s">
        <v>48</v>
      </c>
      <c r="G37" s="81">
        <v>1500</v>
      </c>
    </row>
    <row r="38" spans="1:11">
      <c r="C38" s="178" t="s">
        <v>284</v>
      </c>
      <c r="G38" s="81">
        <v>1500</v>
      </c>
      <c r="J38" s="177"/>
    </row>
    <row r="39" spans="1:11">
      <c r="C39" s="179"/>
      <c r="D39" s="180"/>
    </row>
    <row r="40" spans="1:11">
      <c r="C40" s="180"/>
      <c r="D40" s="180"/>
    </row>
    <row r="41" spans="1:11">
      <c r="C41" s="172" t="s">
        <v>13</v>
      </c>
      <c r="D41" s="173" t="s">
        <v>63</v>
      </c>
      <c r="E41" s="81" t="s">
        <v>354</v>
      </c>
      <c r="G41" s="81" t="s">
        <v>41</v>
      </c>
      <c r="H41" s="81" t="s">
        <v>355</v>
      </c>
      <c r="I41" s="81" t="s">
        <v>45</v>
      </c>
      <c r="J41" s="81" t="s">
        <v>62</v>
      </c>
      <c r="K41" s="81" t="s">
        <v>40</v>
      </c>
    </row>
    <row r="42" spans="1:11">
      <c r="K42" s="81" t="s">
        <v>39</v>
      </c>
    </row>
    <row r="43" spans="1:11">
      <c r="C43" s="81" t="s">
        <v>17</v>
      </c>
      <c r="D43" s="171">
        <v>30000</v>
      </c>
      <c r="E43" s="171">
        <v>2000</v>
      </c>
      <c r="F43" s="81" t="s">
        <v>18</v>
      </c>
      <c r="G43" s="81" t="s">
        <v>64</v>
      </c>
      <c r="H43" s="171" t="s">
        <v>44</v>
      </c>
      <c r="I43" s="171">
        <v>750</v>
      </c>
      <c r="J43" s="81" t="s">
        <v>38</v>
      </c>
      <c r="K43" s="81" t="s">
        <v>43</v>
      </c>
    </row>
    <row r="44" spans="1:11">
      <c r="C44" s="81" t="s">
        <v>356</v>
      </c>
      <c r="D44" s="171">
        <v>9500</v>
      </c>
      <c r="E44" s="171">
        <v>2750</v>
      </c>
      <c r="F44" s="81" t="s">
        <v>18</v>
      </c>
      <c r="G44" s="81" t="s">
        <v>59</v>
      </c>
      <c r="K44" s="143" t="s">
        <v>42</v>
      </c>
    </row>
    <row r="45" spans="1:11">
      <c r="E45" s="171"/>
      <c r="K45" s="81" t="s">
        <v>368</v>
      </c>
    </row>
    <row r="46" spans="1:11">
      <c r="C46" s="81" t="s">
        <v>14</v>
      </c>
      <c r="K46" s="143" t="s">
        <v>19</v>
      </c>
    </row>
    <row r="47" spans="1:11">
      <c r="C47" s="81" t="s">
        <v>293</v>
      </c>
      <c r="D47" s="171" t="s">
        <v>230</v>
      </c>
      <c r="E47" s="171" t="s">
        <v>231</v>
      </c>
      <c r="K47" s="81" t="s">
        <v>369</v>
      </c>
    </row>
    <row r="48" spans="1:11">
      <c r="C48" s="81" t="s">
        <v>15</v>
      </c>
      <c r="D48" s="171"/>
      <c r="E48" s="171"/>
      <c r="K48" s="143" t="s">
        <v>20</v>
      </c>
    </row>
    <row r="49" spans="11:11" ht="24">
      <c r="K49" s="181" t="s">
        <v>65</v>
      </c>
    </row>
    <row r="50" spans="11:11">
      <c r="K50" s="143"/>
    </row>
    <row r="55" spans="11:11">
      <c r="K55" s="181"/>
    </row>
  </sheetData>
  <hyperlinks>
    <hyperlink ref="K46" r:id="rId1"/>
    <hyperlink ref="K48" r:id="rId2"/>
    <hyperlink ref="K44" r:id="rId3" display="http://www.pwntechnologies.nl/resources/factsheets/pdf/Perfector-E - Emergency water unit.pdf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/>
  <dimension ref="A1:Q166"/>
  <sheetViews>
    <sheetView topLeftCell="A19" zoomScale="80" zoomScaleNormal="80" zoomScalePageLayoutView="80" workbookViewId="0">
      <selection activeCell="F14" sqref="F14"/>
    </sheetView>
  </sheetViews>
  <sheetFormatPr baseColWidth="10" defaultColWidth="8.83203125" defaultRowHeight="14" x14ac:dyDescent="0"/>
  <cols>
    <col min="1" max="1" width="2.83203125" style="3" customWidth="1"/>
    <col min="2" max="2" width="20" customWidth="1"/>
    <col min="3" max="3" width="10.83203125" customWidth="1"/>
    <col min="4" max="4" width="13.5" customWidth="1"/>
    <col min="5" max="5" width="20.1640625" customWidth="1"/>
    <col min="6" max="6" width="14.5" customWidth="1"/>
    <col min="7" max="7" width="14" customWidth="1"/>
    <col min="8" max="8" width="18" customWidth="1"/>
    <col min="9" max="9" width="13.83203125" customWidth="1"/>
    <col min="10" max="10" width="12.6640625" customWidth="1"/>
    <col min="11" max="11" width="10.6640625" bestFit="1" customWidth="1"/>
    <col min="12" max="12" width="11.5" customWidth="1"/>
    <col min="13" max="13" width="14.6640625" customWidth="1"/>
    <col min="14" max="14" width="19" customWidth="1"/>
    <col min="15" max="15" width="20" customWidth="1"/>
    <col min="16" max="16" width="18.5" customWidth="1"/>
  </cols>
  <sheetData>
    <row r="1" spans="2:17" s="81" customFormat="1"/>
    <row r="2" spans="2:17" s="81" customFormat="1" ht="18">
      <c r="B2" s="49" t="s">
        <v>185</v>
      </c>
    </row>
    <row r="3" spans="2:17" s="81" customFormat="1">
      <c r="B3" s="57" t="s">
        <v>68</v>
      </c>
    </row>
    <row r="4" spans="2:17" s="81" customFormat="1"/>
    <row r="5" spans="2:17" s="81" customFormat="1">
      <c r="B5" s="188" t="s">
        <v>294</v>
      </c>
      <c r="C5" s="17" t="s">
        <v>96</v>
      </c>
      <c r="E5" s="127" t="s">
        <v>187</v>
      </c>
      <c r="F5" s="142"/>
      <c r="G5" s="57"/>
    </row>
    <row r="6" spans="2:17" s="81" customFormat="1">
      <c r="B6" s="242" t="s">
        <v>163</v>
      </c>
      <c r="C6" s="17" t="s">
        <v>67</v>
      </c>
      <c r="E6" s="4" t="s">
        <v>98</v>
      </c>
      <c r="F6" s="193">
        <v>0</v>
      </c>
      <c r="G6" s="57"/>
      <c r="H6" s="243"/>
      <c r="L6" s="243"/>
      <c r="M6" s="243"/>
      <c r="N6" s="243"/>
      <c r="O6" s="243"/>
    </row>
    <row r="7" spans="2:17" s="81" customFormat="1" ht="16">
      <c r="D7" s="57"/>
      <c r="E7" s="4" t="s">
        <v>297</v>
      </c>
      <c r="F7" s="253">
        <f>'Real Estate'!H36*F10-'Real Estate'!H11</f>
        <v>2250</v>
      </c>
      <c r="G7" s="57" t="s">
        <v>158</v>
      </c>
      <c r="H7" s="243"/>
      <c r="L7" s="243"/>
      <c r="M7" s="243"/>
      <c r="N7" s="243"/>
      <c r="O7" s="243"/>
      <c r="P7" s="57"/>
      <c r="Q7" s="57"/>
    </row>
    <row r="8" spans="2:17" s="81" customFormat="1" ht="15" customHeight="1">
      <c r="E8" s="4" t="s">
        <v>99</v>
      </c>
      <c r="F8" s="193">
        <v>0.9</v>
      </c>
      <c r="G8" s="57"/>
      <c r="H8" s="243"/>
      <c r="L8" s="243"/>
      <c r="M8" s="243"/>
      <c r="N8" s="243"/>
      <c r="O8" s="243"/>
      <c r="P8" s="244"/>
      <c r="Q8" s="57"/>
    </row>
    <row r="9" spans="2:17" s="81" customFormat="1">
      <c r="B9" s="18" t="s">
        <v>162</v>
      </c>
      <c r="E9" s="4" t="s">
        <v>100</v>
      </c>
      <c r="F9" s="193">
        <v>0.9</v>
      </c>
      <c r="G9" s="57"/>
      <c r="H9" s="243"/>
      <c r="L9" s="243"/>
      <c r="M9" s="243"/>
      <c r="N9" s="243"/>
      <c r="O9" s="243"/>
      <c r="P9" s="244"/>
      <c r="Q9" s="57"/>
    </row>
    <row r="10" spans="2:17" s="81" customFormat="1" ht="15" customHeight="1">
      <c r="E10" s="4" t="s">
        <v>101</v>
      </c>
      <c r="F10" s="193">
        <v>30</v>
      </c>
      <c r="G10" s="57"/>
      <c r="H10" s="244"/>
      <c r="L10" s="244"/>
      <c r="M10" s="244"/>
      <c r="N10" s="244"/>
      <c r="O10" s="244"/>
      <c r="P10" s="244"/>
      <c r="Q10" s="57"/>
    </row>
    <row r="11" spans="2:17" s="81" customFormat="1">
      <c r="E11" s="4" t="s">
        <v>102</v>
      </c>
      <c r="F11" s="193">
        <f>(INDEX('Hidden input'!B3:C4, MATCH(C5, 'Hidden input'!B3:B4, 0), 2))*30</f>
        <v>3603</v>
      </c>
      <c r="G11" s="57" t="s">
        <v>159</v>
      </c>
      <c r="H11" s="244"/>
      <c r="L11" s="244"/>
      <c r="M11" s="244"/>
      <c r="N11" s="244"/>
      <c r="O11" s="244"/>
      <c r="P11" s="244"/>
      <c r="Q11" s="57"/>
    </row>
    <row r="12" spans="2:17" s="81" customFormat="1">
      <c r="B12" s="57" t="s">
        <v>186</v>
      </c>
      <c r="E12" s="4" t="s">
        <v>103</v>
      </c>
      <c r="F12" s="193">
        <v>1</v>
      </c>
      <c r="G12" s="57"/>
      <c r="H12" s="57"/>
      <c r="L12" s="57"/>
      <c r="M12" s="57"/>
      <c r="N12" s="57"/>
      <c r="O12" s="57"/>
      <c r="P12" s="57"/>
      <c r="Q12" s="57"/>
    </row>
    <row r="13" spans="2:17" s="81" customFormat="1">
      <c r="B13" s="57" t="s">
        <v>323</v>
      </c>
      <c r="E13" s="13" t="s">
        <v>104</v>
      </c>
      <c r="F13" s="245">
        <v>450000</v>
      </c>
      <c r="G13" s="57"/>
      <c r="H13" s="57"/>
      <c r="L13" s="57"/>
      <c r="M13" s="57"/>
      <c r="P13" s="57"/>
      <c r="Q13" s="57"/>
    </row>
    <row r="14" spans="2:17" s="81" customFormat="1">
      <c r="B14" s="57" t="s">
        <v>164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2:17" s="81" customFormat="1" ht="15" customHeight="1">
      <c r="B15" s="24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2:17" s="247" customFormat="1" ht="31.5" customHeight="1">
      <c r="B16" s="248" t="s">
        <v>105</v>
      </c>
      <c r="C16" s="254" t="s">
        <v>106</v>
      </c>
      <c r="D16" s="254" t="s">
        <v>165</v>
      </c>
      <c r="E16" s="254" t="s">
        <v>324</v>
      </c>
      <c r="F16" s="254" t="s">
        <v>109</v>
      </c>
      <c r="G16" s="254" t="s">
        <v>112</v>
      </c>
      <c r="H16" s="254" t="s">
        <v>113</v>
      </c>
      <c r="I16" s="254" t="s">
        <v>114</v>
      </c>
      <c r="J16" s="254" t="s">
        <v>115</v>
      </c>
      <c r="Q16" s="249"/>
    </row>
    <row r="17" spans="2:17" s="81" customFormat="1">
      <c r="B17" s="57" t="s">
        <v>116</v>
      </c>
      <c r="C17" s="250">
        <f>F6</f>
        <v>0</v>
      </c>
      <c r="D17" s="57">
        <f>VLOOKUP($C6, 'Hidden input'!A14:M15, 2, FALSE)</f>
        <v>1</v>
      </c>
      <c r="E17" s="64">
        <f>F7</f>
        <v>2250</v>
      </c>
      <c r="F17" s="67">
        <f>D17*E17*F8*F9</f>
        <v>1822.5</v>
      </c>
      <c r="G17" s="67">
        <f>F10*F11*F12</f>
        <v>108090</v>
      </c>
      <c r="H17" s="67">
        <f t="shared" ref="H17:H64" si="0">C17+F17-G17</f>
        <v>-106267.5</v>
      </c>
      <c r="I17" s="250">
        <f>IF(H17&gt;0,H17,0)</f>
        <v>0</v>
      </c>
      <c r="J17" s="67">
        <f t="shared" ref="J17:J64" si="1">IF(I17&gt;$F$13,$F$13,I17)</f>
        <v>0</v>
      </c>
      <c r="L17" s="171"/>
      <c r="M17" s="171"/>
      <c r="Q17" s="57"/>
    </row>
    <row r="18" spans="2:17" s="81" customFormat="1">
      <c r="B18" s="57" t="s">
        <v>117</v>
      </c>
      <c r="C18" s="250">
        <f t="shared" ref="C18:C64" si="2">J17</f>
        <v>0</v>
      </c>
      <c r="D18" s="57">
        <f>VLOOKUP($C6, 'Hidden input'!A14:M15, 3, FALSE)</f>
        <v>2</v>
      </c>
      <c r="E18" s="64">
        <f>F7</f>
        <v>2250</v>
      </c>
      <c r="F18" s="67">
        <f>D18*E18*F8*F9</f>
        <v>3645</v>
      </c>
      <c r="G18" s="67">
        <f>F10*F11*F12</f>
        <v>108090</v>
      </c>
      <c r="H18" s="67">
        <f t="shared" si="0"/>
        <v>-104445</v>
      </c>
      <c r="I18" s="250">
        <f t="shared" ref="I18:I64" si="3">IF(H18&gt;0,H18,0)</f>
        <v>0</v>
      </c>
      <c r="J18" s="67">
        <f t="shared" si="1"/>
        <v>0</v>
      </c>
      <c r="L18" s="171"/>
      <c r="M18" s="171"/>
      <c r="Q18" s="57"/>
    </row>
    <row r="19" spans="2:17" s="81" customFormat="1">
      <c r="B19" s="57" t="s">
        <v>118</v>
      </c>
      <c r="C19" s="250">
        <f t="shared" si="2"/>
        <v>0</v>
      </c>
      <c r="D19" s="57">
        <f>VLOOKUP($C6, 'Hidden input'!A14:M15, 4, FALSE)</f>
        <v>9</v>
      </c>
      <c r="E19" s="64">
        <f>F7</f>
        <v>2250</v>
      </c>
      <c r="F19" s="67">
        <f>D19*E19*F8*F9</f>
        <v>16402.5</v>
      </c>
      <c r="G19" s="67">
        <f>F10*F11*F12</f>
        <v>108090</v>
      </c>
      <c r="H19" s="67">
        <f t="shared" si="0"/>
        <v>-91687.5</v>
      </c>
      <c r="I19" s="250">
        <f t="shared" si="3"/>
        <v>0</v>
      </c>
      <c r="J19" s="67">
        <f t="shared" si="1"/>
        <v>0</v>
      </c>
      <c r="L19" s="171"/>
      <c r="M19" s="171"/>
      <c r="Q19" s="57"/>
    </row>
    <row r="20" spans="2:17" s="81" customFormat="1">
      <c r="B20" s="57" t="s">
        <v>119</v>
      </c>
      <c r="C20" s="250">
        <f t="shared" si="2"/>
        <v>0</v>
      </c>
      <c r="D20" s="57">
        <f>VLOOKUP($C6, 'Hidden input'!A14:M15, 5, FALSE)</f>
        <v>34</v>
      </c>
      <c r="E20" s="64">
        <f>F7</f>
        <v>2250</v>
      </c>
      <c r="F20" s="67">
        <f>D20*E20*F8*F9</f>
        <v>61965</v>
      </c>
      <c r="G20" s="67">
        <f>F10*F11*F12</f>
        <v>108090</v>
      </c>
      <c r="H20" s="67">
        <f t="shared" si="0"/>
        <v>-46125</v>
      </c>
      <c r="I20" s="250">
        <f t="shared" si="3"/>
        <v>0</v>
      </c>
      <c r="J20" s="67">
        <f t="shared" si="1"/>
        <v>0</v>
      </c>
      <c r="L20" s="171"/>
      <c r="M20" s="171"/>
      <c r="Q20" s="57"/>
    </row>
    <row r="21" spans="2:17" s="81" customFormat="1">
      <c r="B21" s="57" t="s">
        <v>120</v>
      </c>
      <c r="C21" s="250">
        <f t="shared" si="2"/>
        <v>0</v>
      </c>
      <c r="D21" s="57">
        <f>VLOOKUP($C6, 'Hidden input'!A14:M15, 6, FALSE)</f>
        <v>276</v>
      </c>
      <c r="E21" s="64">
        <f>F7</f>
        <v>2250</v>
      </c>
      <c r="F21" s="67">
        <f>D21*E21*F8*F9</f>
        <v>503010</v>
      </c>
      <c r="G21" s="67">
        <f>F10*F11*F12</f>
        <v>108090</v>
      </c>
      <c r="H21" s="67">
        <f t="shared" si="0"/>
        <v>394920</v>
      </c>
      <c r="I21" s="250">
        <f t="shared" si="3"/>
        <v>394920</v>
      </c>
      <c r="J21" s="67">
        <f t="shared" si="1"/>
        <v>394920</v>
      </c>
      <c r="L21" s="171"/>
      <c r="M21" s="171"/>
      <c r="Q21" s="57"/>
    </row>
    <row r="22" spans="2:17" s="81" customFormat="1">
      <c r="B22" s="57" t="s">
        <v>121</v>
      </c>
      <c r="C22" s="250">
        <f t="shared" si="2"/>
        <v>394920</v>
      </c>
      <c r="D22" s="57">
        <f>VLOOKUP($C6, 'Hidden input'!A14:M15, 7, FALSE)</f>
        <v>332</v>
      </c>
      <c r="E22" s="64">
        <f>F7</f>
        <v>2250</v>
      </c>
      <c r="F22" s="67">
        <f>D22*E22*F8*F9</f>
        <v>605070</v>
      </c>
      <c r="G22" s="67">
        <f>F10*F11*F12</f>
        <v>108090</v>
      </c>
      <c r="H22" s="67">
        <f t="shared" si="0"/>
        <v>891900</v>
      </c>
      <c r="I22" s="250">
        <f t="shared" si="3"/>
        <v>891900</v>
      </c>
      <c r="J22" s="67">
        <f>IF(I22&gt;$F$13,$F$13,I22)</f>
        <v>450000</v>
      </c>
      <c r="L22" s="171"/>
      <c r="M22" s="171"/>
      <c r="Q22" s="57"/>
    </row>
    <row r="23" spans="2:17" s="81" customFormat="1">
      <c r="B23" s="57" t="s">
        <v>122</v>
      </c>
      <c r="C23" s="250">
        <f t="shared" si="2"/>
        <v>450000</v>
      </c>
      <c r="D23" s="57">
        <f>VLOOKUP($C6, 'Hidden input'!A14:M15, 8, FALSE)</f>
        <v>179</v>
      </c>
      <c r="E23" s="64">
        <f>F7</f>
        <v>2250</v>
      </c>
      <c r="F23" s="67">
        <f>D23*E23*F8*F9</f>
        <v>326227.5</v>
      </c>
      <c r="G23" s="67">
        <f>F10*F11*F12</f>
        <v>108090</v>
      </c>
      <c r="H23" s="67">
        <f t="shared" si="0"/>
        <v>668137.5</v>
      </c>
      <c r="I23" s="250">
        <f t="shared" si="3"/>
        <v>668137.5</v>
      </c>
      <c r="J23" s="67">
        <f t="shared" si="1"/>
        <v>450000</v>
      </c>
      <c r="L23" s="171"/>
      <c r="M23" s="171"/>
      <c r="Q23" s="57"/>
    </row>
    <row r="24" spans="2:17" s="81" customFormat="1">
      <c r="B24" s="57" t="s">
        <v>123</v>
      </c>
      <c r="C24" s="250">
        <f t="shared" si="2"/>
        <v>450000</v>
      </c>
      <c r="D24" s="57">
        <f>VLOOKUP($C6, 'Hidden input'!A14:M15, 9, FALSE)</f>
        <v>234</v>
      </c>
      <c r="E24" s="64">
        <f>F7</f>
        <v>2250</v>
      </c>
      <c r="F24" s="67">
        <f>D24*E24*F8*F9</f>
        <v>426465</v>
      </c>
      <c r="G24" s="67">
        <f>F10*F11*F12</f>
        <v>108090</v>
      </c>
      <c r="H24" s="67">
        <f t="shared" si="0"/>
        <v>768375</v>
      </c>
      <c r="I24" s="250">
        <f t="shared" si="3"/>
        <v>768375</v>
      </c>
      <c r="J24" s="67">
        <f>IF(I24&gt;$F$13,$F$13,I24)</f>
        <v>450000</v>
      </c>
      <c r="M24" s="171"/>
      <c r="Q24" s="57"/>
    </row>
    <row r="25" spans="2:17" s="81" customFormat="1">
      <c r="B25" s="57" t="s">
        <v>124</v>
      </c>
      <c r="C25" s="250">
        <f t="shared" si="2"/>
        <v>450000</v>
      </c>
      <c r="D25" s="57">
        <f>VLOOKUP($C6, 'Hidden input'!A14:M15, 10, FALSE)</f>
        <v>412</v>
      </c>
      <c r="E25" s="64">
        <f>F7</f>
        <v>2250</v>
      </c>
      <c r="F25" s="67">
        <f>D25*E25*F8*F9</f>
        <v>750870</v>
      </c>
      <c r="G25" s="67">
        <f>F10*F11*F12</f>
        <v>108090</v>
      </c>
      <c r="H25" s="67">
        <f t="shared" si="0"/>
        <v>1092780</v>
      </c>
      <c r="I25" s="250">
        <f t="shared" si="3"/>
        <v>1092780</v>
      </c>
      <c r="J25" s="67">
        <f t="shared" si="1"/>
        <v>450000</v>
      </c>
      <c r="M25" s="171"/>
      <c r="Q25" s="57"/>
    </row>
    <row r="26" spans="2:17" s="81" customFormat="1">
      <c r="B26" s="57" t="s">
        <v>125</v>
      </c>
      <c r="C26" s="250">
        <f t="shared" si="2"/>
        <v>450000</v>
      </c>
      <c r="D26" s="57">
        <f>VLOOKUP($C6, 'Hidden input'!A14:M15, 11, FALSE)</f>
        <v>306</v>
      </c>
      <c r="E26" s="64">
        <f>F7</f>
        <v>2250</v>
      </c>
      <c r="F26" s="67">
        <f>D26*E26*F8*F9</f>
        <v>557685</v>
      </c>
      <c r="G26" s="67">
        <f>F10*F11*F12</f>
        <v>108090</v>
      </c>
      <c r="H26" s="67">
        <f t="shared" si="0"/>
        <v>899595</v>
      </c>
      <c r="I26" s="250">
        <f t="shared" si="3"/>
        <v>899595</v>
      </c>
      <c r="J26" s="67">
        <f t="shared" si="1"/>
        <v>450000</v>
      </c>
      <c r="M26" s="171"/>
      <c r="Q26" s="57"/>
    </row>
    <row r="27" spans="2:17" s="81" customFormat="1">
      <c r="B27" s="57" t="s">
        <v>126</v>
      </c>
      <c r="C27" s="250">
        <f t="shared" si="2"/>
        <v>450000</v>
      </c>
      <c r="D27" s="57">
        <f>VLOOKUP($C6, 'Hidden input'!A14:M15, 12, FALSE)</f>
        <v>59</v>
      </c>
      <c r="E27" s="64">
        <f>F7</f>
        <v>2250</v>
      </c>
      <c r="F27" s="67">
        <f>D27*E27*F8*F9</f>
        <v>107527.5</v>
      </c>
      <c r="G27" s="67">
        <f>F10*F11*F12</f>
        <v>108090</v>
      </c>
      <c r="H27" s="67">
        <f t="shared" si="0"/>
        <v>449437.5</v>
      </c>
      <c r="I27" s="250">
        <f t="shared" si="3"/>
        <v>449437.5</v>
      </c>
      <c r="J27" s="67">
        <f t="shared" si="1"/>
        <v>449437.5</v>
      </c>
      <c r="M27" s="171"/>
      <c r="Q27" s="57"/>
    </row>
    <row r="28" spans="2:17" s="81" customFormat="1">
      <c r="B28" s="14" t="s">
        <v>127</v>
      </c>
      <c r="C28" s="251">
        <f t="shared" si="2"/>
        <v>449437.5</v>
      </c>
      <c r="D28" s="14">
        <f>VLOOKUP($C6, 'Hidden input'!A14:M15, 13, FALSE)</f>
        <v>11</v>
      </c>
      <c r="E28" s="117">
        <f>F7</f>
        <v>2250</v>
      </c>
      <c r="F28" s="137">
        <f>D28*E28*F8*F9</f>
        <v>20047.5</v>
      </c>
      <c r="G28" s="137">
        <f>F10*F11*F12</f>
        <v>108090</v>
      </c>
      <c r="H28" s="137">
        <f t="shared" si="0"/>
        <v>361395</v>
      </c>
      <c r="I28" s="251">
        <f>IF(H28&gt;0,H28,0)</f>
        <v>361395</v>
      </c>
      <c r="J28" s="137">
        <f>IF(I28&gt;$F$13,$F$13,I28)</f>
        <v>361395</v>
      </c>
      <c r="L28" s="171"/>
      <c r="M28" s="171"/>
      <c r="Q28" s="57"/>
    </row>
    <row r="29" spans="2:17" s="81" customFormat="1">
      <c r="B29" s="57" t="s">
        <v>116</v>
      </c>
      <c r="C29" s="250">
        <f t="shared" si="2"/>
        <v>361395</v>
      </c>
      <c r="D29" s="57">
        <f t="shared" ref="D29:D40" si="4">D17</f>
        <v>1</v>
      </c>
      <c r="E29" s="64">
        <f>F7</f>
        <v>2250</v>
      </c>
      <c r="F29" s="67">
        <f>D29*E29*F8*F9</f>
        <v>1822.5</v>
      </c>
      <c r="G29" s="67">
        <f>F10*F11*F12</f>
        <v>108090</v>
      </c>
      <c r="H29" s="67">
        <f t="shared" si="0"/>
        <v>255127.5</v>
      </c>
      <c r="I29" s="250">
        <f t="shared" si="3"/>
        <v>255127.5</v>
      </c>
      <c r="J29" s="67">
        <f t="shared" si="1"/>
        <v>255127.5</v>
      </c>
      <c r="L29" s="171"/>
      <c r="M29" s="171"/>
      <c r="Q29" s="57"/>
    </row>
    <row r="30" spans="2:17" s="81" customFormat="1">
      <c r="B30" s="57" t="s">
        <v>117</v>
      </c>
      <c r="C30" s="250">
        <f t="shared" si="2"/>
        <v>255127.5</v>
      </c>
      <c r="D30" s="57">
        <f t="shared" si="4"/>
        <v>2</v>
      </c>
      <c r="E30" s="64">
        <f>F7</f>
        <v>2250</v>
      </c>
      <c r="F30" s="67">
        <f>D30*E30*F8*F9</f>
        <v>3645</v>
      </c>
      <c r="G30" s="67">
        <f>F10*F11*F12</f>
        <v>108090</v>
      </c>
      <c r="H30" s="67">
        <f t="shared" si="0"/>
        <v>150682.5</v>
      </c>
      <c r="I30" s="250">
        <f t="shared" si="3"/>
        <v>150682.5</v>
      </c>
      <c r="J30" s="67">
        <f t="shared" si="1"/>
        <v>150682.5</v>
      </c>
      <c r="L30" s="171"/>
      <c r="M30" s="171"/>
      <c r="Q30" s="57"/>
    </row>
    <row r="31" spans="2:17" s="81" customFormat="1" ht="15" customHeight="1">
      <c r="B31" s="57" t="s">
        <v>118</v>
      </c>
      <c r="C31" s="250">
        <f t="shared" si="2"/>
        <v>150682.5</v>
      </c>
      <c r="D31" s="57">
        <f t="shared" si="4"/>
        <v>9</v>
      </c>
      <c r="E31" s="64">
        <f>F7</f>
        <v>2250</v>
      </c>
      <c r="F31" s="67">
        <f>D31*E31*F8*F9</f>
        <v>16402.5</v>
      </c>
      <c r="G31" s="67">
        <f>F10*F11*F12</f>
        <v>108090</v>
      </c>
      <c r="H31" s="67">
        <f t="shared" si="0"/>
        <v>58995</v>
      </c>
      <c r="I31" s="250">
        <f t="shared" si="3"/>
        <v>58995</v>
      </c>
      <c r="J31" s="67">
        <f t="shared" si="1"/>
        <v>58995</v>
      </c>
      <c r="L31" s="171"/>
      <c r="M31" s="171"/>
      <c r="Q31" s="57"/>
    </row>
    <row r="32" spans="2:17" s="81" customFormat="1">
      <c r="B32" s="57" t="s">
        <v>119</v>
      </c>
      <c r="C32" s="250">
        <f t="shared" si="2"/>
        <v>58995</v>
      </c>
      <c r="D32" s="57">
        <f t="shared" si="4"/>
        <v>34</v>
      </c>
      <c r="E32" s="64">
        <f>F7</f>
        <v>2250</v>
      </c>
      <c r="F32" s="67">
        <f>D32*E32*F8*F9</f>
        <v>61965</v>
      </c>
      <c r="G32" s="67">
        <f>F10*F11*F12</f>
        <v>108090</v>
      </c>
      <c r="H32" s="67">
        <f t="shared" si="0"/>
        <v>12870</v>
      </c>
      <c r="I32" s="250">
        <f t="shared" si="3"/>
        <v>12870</v>
      </c>
      <c r="J32" s="67">
        <f t="shared" si="1"/>
        <v>12870</v>
      </c>
      <c r="L32" s="171"/>
      <c r="M32" s="171"/>
      <c r="Q32" s="57"/>
    </row>
    <row r="33" spans="2:17" s="81" customFormat="1">
      <c r="B33" s="57" t="s">
        <v>120</v>
      </c>
      <c r="C33" s="250">
        <f t="shared" si="2"/>
        <v>12870</v>
      </c>
      <c r="D33" s="57">
        <f t="shared" si="4"/>
        <v>276</v>
      </c>
      <c r="E33" s="64">
        <f>F7</f>
        <v>2250</v>
      </c>
      <c r="F33" s="67">
        <f>D33*E33*F8*F9</f>
        <v>503010</v>
      </c>
      <c r="G33" s="67">
        <f>F10*F11*F12</f>
        <v>108090</v>
      </c>
      <c r="H33" s="67">
        <f t="shared" si="0"/>
        <v>407790</v>
      </c>
      <c r="I33" s="250">
        <f t="shared" si="3"/>
        <v>407790</v>
      </c>
      <c r="J33" s="67">
        <f t="shared" si="1"/>
        <v>407790</v>
      </c>
      <c r="L33" s="171"/>
      <c r="M33" s="171"/>
      <c r="Q33" s="57"/>
    </row>
    <row r="34" spans="2:17" s="81" customFormat="1">
      <c r="B34" s="57" t="s">
        <v>121</v>
      </c>
      <c r="C34" s="250">
        <f t="shared" si="2"/>
        <v>407790</v>
      </c>
      <c r="D34" s="57">
        <f t="shared" si="4"/>
        <v>332</v>
      </c>
      <c r="E34" s="64">
        <f>F7</f>
        <v>2250</v>
      </c>
      <c r="F34" s="67">
        <f>D34*E34*F8*F9</f>
        <v>605070</v>
      </c>
      <c r="G34" s="67">
        <f>F10*F11*F12</f>
        <v>108090</v>
      </c>
      <c r="H34" s="67">
        <f t="shared" si="0"/>
        <v>904770</v>
      </c>
      <c r="I34" s="250">
        <f t="shared" si="3"/>
        <v>904770</v>
      </c>
      <c r="J34" s="67">
        <f t="shared" si="1"/>
        <v>450000</v>
      </c>
      <c r="L34" s="171"/>
      <c r="M34" s="171"/>
      <c r="Q34" s="57"/>
    </row>
    <row r="35" spans="2:17" s="81" customFormat="1">
      <c r="B35" s="57" t="s">
        <v>122</v>
      </c>
      <c r="C35" s="250">
        <f t="shared" si="2"/>
        <v>450000</v>
      </c>
      <c r="D35" s="57">
        <f t="shared" si="4"/>
        <v>179</v>
      </c>
      <c r="E35" s="64">
        <f>F7</f>
        <v>2250</v>
      </c>
      <c r="F35" s="67">
        <f>D35*E35*F8*F9</f>
        <v>326227.5</v>
      </c>
      <c r="G35" s="67">
        <f>F10*F11*F12</f>
        <v>108090</v>
      </c>
      <c r="H35" s="67">
        <f t="shared" si="0"/>
        <v>668137.5</v>
      </c>
      <c r="I35" s="250">
        <f t="shared" si="3"/>
        <v>668137.5</v>
      </c>
      <c r="J35" s="67">
        <f t="shared" si="1"/>
        <v>450000</v>
      </c>
      <c r="L35" s="171"/>
      <c r="M35" s="171"/>
      <c r="Q35" s="57"/>
    </row>
    <row r="36" spans="2:17" s="81" customFormat="1">
      <c r="B36" s="57" t="s">
        <v>123</v>
      </c>
      <c r="C36" s="250">
        <f t="shared" si="2"/>
        <v>450000</v>
      </c>
      <c r="D36" s="57">
        <f t="shared" si="4"/>
        <v>234</v>
      </c>
      <c r="E36" s="64">
        <f>F7</f>
        <v>2250</v>
      </c>
      <c r="F36" s="67">
        <f>D36*E36*F8*F9</f>
        <v>426465</v>
      </c>
      <c r="G36" s="67">
        <f>F10*F11*F12</f>
        <v>108090</v>
      </c>
      <c r="H36" s="67">
        <f t="shared" si="0"/>
        <v>768375</v>
      </c>
      <c r="I36" s="250">
        <f t="shared" si="3"/>
        <v>768375</v>
      </c>
      <c r="J36" s="67">
        <f t="shared" si="1"/>
        <v>450000</v>
      </c>
      <c r="L36" s="171"/>
      <c r="M36" s="171"/>
      <c r="Q36" s="57"/>
    </row>
    <row r="37" spans="2:17" s="81" customFormat="1">
      <c r="B37" s="57" t="s">
        <v>124</v>
      </c>
      <c r="C37" s="250">
        <f t="shared" si="2"/>
        <v>450000</v>
      </c>
      <c r="D37" s="57">
        <f t="shared" si="4"/>
        <v>412</v>
      </c>
      <c r="E37" s="64">
        <f>F7</f>
        <v>2250</v>
      </c>
      <c r="F37" s="67">
        <f>D37*E37*F8*F9</f>
        <v>750870</v>
      </c>
      <c r="G37" s="67">
        <f>F10*F11*F12</f>
        <v>108090</v>
      </c>
      <c r="H37" s="67">
        <f t="shared" si="0"/>
        <v>1092780</v>
      </c>
      <c r="I37" s="250">
        <f t="shared" si="3"/>
        <v>1092780</v>
      </c>
      <c r="J37" s="67">
        <f t="shared" si="1"/>
        <v>450000</v>
      </c>
      <c r="L37" s="171"/>
      <c r="M37" s="171"/>
      <c r="Q37" s="57"/>
    </row>
    <row r="38" spans="2:17" s="81" customFormat="1">
      <c r="B38" s="57" t="s">
        <v>125</v>
      </c>
      <c r="C38" s="250">
        <f t="shared" si="2"/>
        <v>450000</v>
      </c>
      <c r="D38" s="57">
        <f t="shared" si="4"/>
        <v>306</v>
      </c>
      <c r="E38" s="64">
        <f>F7</f>
        <v>2250</v>
      </c>
      <c r="F38" s="67">
        <f>D38*E38*F8*F9</f>
        <v>557685</v>
      </c>
      <c r="G38" s="67">
        <f>F10*F11*F12</f>
        <v>108090</v>
      </c>
      <c r="H38" s="67">
        <f t="shared" si="0"/>
        <v>899595</v>
      </c>
      <c r="I38" s="250">
        <f t="shared" si="3"/>
        <v>899595</v>
      </c>
      <c r="J38" s="67">
        <f t="shared" si="1"/>
        <v>450000</v>
      </c>
      <c r="L38" s="171"/>
      <c r="M38" s="171"/>
      <c r="Q38" s="57"/>
    </row>
    <row r="39" spans="2:17" s="81" customFormat="1">
      <c r="B39" s="57" t="s">
        <v>126</v>
      </c>
      <c r="C39" s="250">
        <f t="shared" si="2"/>
        <v>450000</v>
      </c>
      <c r="D39" s="57">
        <f t="shared" si="4"/>
        <v>59</v>
      </c>
      <c r="E39" s="64">
        <f>F7</f>
        <v>2250</v>
      </c>
      <c r="F39" s="67">
        <f>D39*E39*F8*F9</f>
        <v>107527.5</v>
      </c>
      <c r="G39" s="67">
        <f>F10*F11*F12</f>
        <v>108090</v>
      </c>
      <c r="H39" s="67">
        <f t="shared" si="0"/>
        <v>449437.5</v>
      </c>
      <c r="I39" s="250">
        <f t="shared" si="3"/>
        <v>449437.5</v>
      </c>
      <c r="J39" s="67">
        <f t="shared" si="1"/>
        <v>449437.5</v>
      </c>
      <c r="L39" s="171"/>
      <c r="M39" s="171"/>
      <c r="Q39" s="57"/>
    </row>
    <row r="40" spans="2:17" s="81" customFormat="1">
      <c r="B40" s="14" t="s">
        <v>127</v>
      </c>
      <c r="C40" s="251">
        <f t="shared" si="2"/>
        <v>449437.5</v>
      </c>
      <c r="D40" s="14">
        <f t="shared" si="4"/>
        <v>11</v>
      </c>
      <c r="E40" s="117">
        <f>F7</f>
        <v>2250</v>
      </c>
      <c r="F40" s="137">
        <f>D40*E40*F8*F9</f>
        <v>20047.5</v>
      </c>
      <c r="G40" s="137">
        <f>F10*F11*F12</f>
        <v>108090</v>
      </c>
      <c r="H40" s="137">
        <f t="shared" si="0"/>
        <v>361395</v>
      </c>
      <c r="I40" s="251">
        <f t="shared" si="3"/>
        <v>361395</v>
      </c>
      <c r="J40" s="137">
        <f t="shared" si="1"/>
        <v>361395</v>
      </c>
      <c r="L40" s="171"/>
      <c r="M40" s="171"/>
      <c r="Q40" s="57"/>
    </row>
    <row r="41" spans="2:17" s="81" customFormat="1">
      <c r="B41" s="57" t="s">
        <v>116</v>
      </c>
      <c r="C41" s="250">
        <f t="shared" si="2"/>
        <v>361395</v>
      </c>
      <c r="D41" s="57">
        <f t="shared" ref="D41:D52" si="5">D17</f>
        <v>1</v>
      </c>
      <c r="E41" s="64">
        <f>F7</f>
        <v>2250</v>
      </c>
      <c r="F41" s="67">
        <f>D41*E41*F8*F9</f>
        <v>1822.5</v>
      </c>
      <c r="G41" s="67">
        <f>F10*F11*F12</f>
        <v>108090</v>
      </c>
      <c r="H41" s="67">
        <f t="shared" si="0"/>
        <v>255127.5</v>
      </c>
      <c r="I41" s="250">
        <f t="shared" si="3"/>
        <v>255127.5</v>
      </c>
      <c r="J41" s="67">
        <f t="shared" si="1"/>
        <v>255127.5</v>
      </c>
      <c r="L41" s="171"/>
      <c r="M41" s="171"/>
      <c r="Q41" s="57"/>
    </row>
    <row r="42" spans="2:17" s="81" customFormat="1">
      <c r="B42" s="57" t="s">
        <v>117</v>
      </c>
      <c r="C42" s="250">
        <f t="shared" si="2"/>
        <v>255127.5</v>
      </c>
      <c r="D42" s="57">
        <f t="shared" si="5"/>
        <v>2</v>
      </c>
      <c r="E42" s="64">
        <f>F7</f>
        <v>2250</v>
      </c>
      <c r="F42" s="67">
        <f>D42*E42*F8*F9</f>
        <v>3645</v>
      </c>
      <c r="G42" s="67">
        <f>F10*F11*F12</f>
        <v>108090</v>
      </c>
      <c r="H42" s="67">
        <f t="shared" si="0"/>
        <v>150682.5</v>
      </c>
      <c r="I42" s="250">
        <f t="shared" si="3"/>
        <v>150682.5</v>
      </c>
      <c r="J42" s="67">
        <f t="shared" si="1"/>
        <v>150682.5</v>
      </c>
      <c r="L42" s="171"/>
      <c r="M42" s="171"/>
      <c r="Q42" s="57"/>
    </row>
    <row r="43" spans="2:17" s="81" customFormat="1">
      <c r="B43" s="57" t="s">
        <v>118</v>
      </c>
      <c r="C43" s="250">
        <f t="shared" si="2"/>
        <v>150682.5</v>
      </c>
      <c r="D43" s="57">
        <f t="shared" si="5"/>
        <v>9</v>
      </c>
      <c r="E43" s="64">
        <f>F7</f>
        <v>2250</v>
      </c>
      <c r="F43" s="67">
        <f>D43*E43*F8*F9</f>
        <v>16402.5</v>
      </c>
      <c r="G43" s="67">
        <f>F10*F11*F12</f>
        <v>108090</v>
      </c>
      <c r="H43" s="67">
        <f t="shared" si="0"/>
        <v>58995</v>
      </c>
      <c r="I43" s="250">
        <f t="shared" si="3"/>
        <v>58995</v>
      </c>
      <c r="J43" s="67">
        <f t="shared" si="1"/>
        <v>58995</v>
      </c>
      <c r="L43" s="171"/>
      <c r="Q43" s="57"/>
    </row>
    <row r="44" spans="2:17" s="81" customFormat="1">
      <c r="B44" s="57" t="s">
        <v>119</v>
      </c>
      <c r="C44" s="250">
        <f t="shared" si="2"/>
        <v>58995</v>
      </c>
      <c r="D44" s="57">
        <f t="shared" si="5"/>
        <v>34</v>
      </c>
      <c r="E44" s="64">
        <f>F7</f>
        <v>2250</v>
      </c>
      <c r="F44" s="67">
        <f>D44*E44*F8*F9</f>
        <v>61965</v>
      </c>
      <c r="G44" s="67">
        <f>F10*F11*F12</f>
        <v>108090</v>
      </c>
      <c r="H44" s="67">
        <f t="shared" si="0"/>
        <v>12870</v>
      </c>
      <c r="I44" s="250">
        <f t="shared" si="3"/>
        <v>12870</v>
      </c>
      <c r="J44" s="67">
        <f t="shared" si="1"/>
        <v>12870</v>
      </c>
      <c r="L44" s="171"/>
      <c r="Q44" s="57"/>
    </row>
    <row r="45" spans="2:17" s="81" customFormat="1">
      <c r="B45" s="57" t="s">
        <v>120</v>
      </c>
      <c r="C45" s="250">
        <f t="shared" si="2"/>
        <v>12870</v>
      </c>
      <c r="D45" s="57">
        <f t="shared" si="5"/>
        <v>276</v>
      </c>
      <c r="E45" s="64">
        <f>F7</f>
        <v>2250</v>
      </c>
      <c r="F45" s="67">
        <f>D45*E45*F8*F9</f>
        <v>503010</v>
      </c>
      <c r="G45" s="67">
        <f>F10*F11*F12</f>
        <v>108090</v>
      </c>
      <c r="H45" s="67">
        <f t="shared" si="0"/>
        <v>407790</v>
      </c>
      <c r="I45" s="250">
        <f t="shared" si="3"/>
        <v>407790</v>
      </c>
      <c r="J45" s="67">
        <f t="shared" si="1"/>
        <v>407790</v>
      </c>
      <c r="L45" s="171"/>
      <c r="Q45" s="57"/>
    </row>
    <row r="46" spans="2:17" s="81" customFormat="1">
      <c r="B46" s="57" t="s">
        <v>121</v>
      </c>
      <c r="C46" s="250">
        <f t="shared" si="2"/>
        <v>407790</v>
      </c>
      <c r="D46" s="57">
        <f t="shared" si="5"/>
        <v>332</v>
      </c>
      <c r="E46" s="64">
        <f>F7</f>
        <v>2250</v>
      </c>
      <c r="F46" s="67">
        <f>D46*E46*F8*F9</f>
        <v>605070</v>
      </c>
      <c r="G46" s="67">
        <f>F10*F11*F12</f>
        <v>108090</v>
      </c>
      <c r="H46" s="67">
        <f t="shared" si="0"/>
        <v>904770</v>
      </c>
      <c r="I46" s="250">
        <f t="shared" si="3"/>
        <v>904770</v>
      </c>
      <c r="J46" s="67">
        <f t="shared" si="1"/>
        <v>450000</v>
      </c>
      <c r="L46" s="171"/>
      <c r="Q46" s="57"/>
    </row>
    <row r="47" spans="2:17" s="81" customFormat="1">
      <c r="B47" s="57" t="s">
        <v>122</v>
      </c>
      <c r="C47" s="250">
        <f t="shared" si="2"/>
        <v>450000</v>
      </c>
      <c r="D47" s="57">
        <f t="shared" si="5"/>
        <v>179</v>
      </c>
      <c r="E47" s="64">
        <f>F7</f>
        <v>2250</v>
      </c>
      <c r="F47" s="67">
        <f>D47*E47*F8*F9</f>
        <v>326227.5</v>
      </c>
      <c r="G47" s="67">
        <f>F10*F11*F12</f>
        <v>108090</v>
      </c>
      <c r="H47" s="67">
        <f t="shared" si="0"/>
        <v>668137.5</v>
      </c>
      <c r="I47" s="250">
        <f t="shared" si="3"/>
        <v>668137.5</v>
      </c>
      <c r="J47" s="67">
        <f t="shared" si="1"/>
        <v>450000</v>
      </c>
      <c r="L47" s="171"/>
      <c r="Q47" s="57"/>
    </row>
    <row r="48" spans="2:17" s="81" customFormat="1">
      <c r="B48" s="57" t="s">
        <v>123</v>
      </c>
      <c r="C48" s="250">
        <f t="shared" si="2"/>
        <v>450000</v>
      </c>
      <c r="D48" s="57">
        <f t="shared" si="5"/>
        <v>234</v>
      </c>
      <c r="E48" s="64">
        <f>F7</f>
        <v>2250</v>
      </c>
      <c r="F48" s="67">
        <f>D48*E48*F8*F9</f>
        <v>426465</v>
      </c>
      <c r="G48" s="67">
        <f>F10*F11*F12</f>
        <v>108090</v>
      </c>
      <c r="H48" s="67">
        <f t="shared" si="0"/>
        <v>768375</v>
      </c>
      <c r="I48" s="250">
        <f t="shared" si="3"/>
        <v>768375</v>
      </c>
      <c r="J48" s="67">
        <f t="shared" si="1"/>
        <v>450000</v>
      </c>
      <c r="L48" s="171"/>
      <c r="Q48" s="57"/>
    </row>
    <row r="49" spans="2:17" s="81" customFormat="1">
      <c r="B49" s="57" t="s">
        <v>124</v>
      </c>
      <c r="C49" s="250">
        <f t="shared" si="2"/>
        <v>450000</v>
      </c>
      <c r="D49" s="57">
        <f t="shared" si="5"/>
        <v>412</v>
      </c>
      <c r="E49" s="64">
        <f>F7</f>
        <v>2250</v>
      </c>
      <c r="F49" s="67">
        <f>D49*E49*F8*F9</f>
        <v>750870</v>
      </c>
      <c r="G49" s="67">
        <f>F10*F11*F12</f>
        <v>108090</v>
      </c>
      <c r="H49" s="67">
        <f t="shared" si="0"/>
        <v>1092780</v>
      </c>
      <c r="I49" s="250">
        <f t="shared" si="3"/>
        <v>1092780</v>
      </c>
      <c r="J49" s="67">
        <f t="shared" si="1"/>
        <v>450000</v>
      </c>
      <c r="L49" s="171"/>
      <c r="Q49" s="57"/>
    </row>
    <row r="50" spans="2:17" s="81" customFormat="1">
      <c r="B50" s="57" t="s">
        <v>125</v>
      </c>
      <c r="C50" s="250">
        <f t="shared" si="2"/>
        <v>450000</v>
      </c>
      <c r="D50" s="57">
        <f t="shared" si="5"/>
        <v>306</v>
      </c>
      <c r="E50" s="64">
        <f>F7</f>
        <v>2250</v>
      </c>
      <c r="F50" s="67">
        <f>D50*E50*F8*F9</f>
        <v>557685</v>
      </c>
      <c r="G50" s="67">
        <f>F10*F11*F12</f>
        <v>108090</v>
      </c>
      <c r="H50" s="67">
        <f t="shared" si="0"/>
        <v>899595</v>
      </c>
      <c r="I50" s="250">
        <f t="shared" si="3"/>
        <v>899595</v>
      </c>
      <c r="J50" s="67">
        <f t="shared" si="1"/>
        <v>450000</v>
      </c>
      <c r="L50" s="171"/>
      <c r="Q50" s="57"/>
    </row>
    <row r="51" spans="2:17" s="81" customFormat="1">
      <c r="B51" s="57" t="s">
        <v>126</v>
      </c>
      <c r="C51" s="250">
        <f t="shared" si="2"/>
        <v>450000</v>
      </c>
      <c r="D51" s="57">
        <f t="shared" si="5"/>
        <v>59</v>
      </c>
      <c r="E51" s="64">
        <f>F7</f>
        <v>2250</v>
      </c>
      <c r="F51" s="67">
        <f>D51*E51*F8*F9</f>
        <v>107527.5</v>
      </c>
      <c r="G51" s="67">
        <f>F10*F11*F12</f>
        <v>108090</v>
      </c>
      <c r="H51" s="67">
        <f t="shared" si="0"/>
        <v>449437.5</v>
      </c>
      <c r="I51" s="250">
        <f t="shared" si="3"/>
        <v>449437.5</v>
      </c>
      <c r="J51" s="67">
        <f t="shared" si="1"/>
        <v>449437.5</v>
      </c>
      <c r="L51" s="171"/>
      <c r="Q51" s="57"/>
    </row>
    <row r="52" spans="2:17" s="81" customFormat="1">
      <c r="B52" s="14" t="s">
        <v>127</v>
      </c>
      <c r="C52" s="251">
        <f t="shared" si="2"/>
        <v>449437.5</v>
      </c>
      <c r="D52" s="14">
        <f t="shared" si="5"/>
        <v>11</v>
      </c>
      <c r="E52" s="117">
        <f>F7</f>
        <v>2250</v>
      </c>
      <c r="F52" s="137">
        <f>D52*E52*F8*F9</f>
        <v>20047.5</v>
      </c>
      <c r="G52" s="137">
        <f>F10*F11*F12</f>
        <v>108090</v>
      </c>
      <c r="H52" s="137">
        <f t="shared" si="0"/>
        <v>361395</v>
      </c>
      <c r="I52" s="251">
        <f t="shared" si="3"/>
        <v>361395</v>
      </c>
      <c r="J52" s="137">
        <f t="shared" si="1"/>
        <v>361395</v>
      </c>
      <c r="L52" s="171"/>
      <c r="Q52" s="57"/>
    </row>
    <row r="53" spans="2:17" s="81" customFormat="1">
      <c r="B53" s="57" t="s">
        <v>116</v>
      </c>
      <c r="C53" s="250">
        <f t="shared" si="2"/>
        <v>361395</v>
      </c>
      <c r="D53" s="57">
        <f t="shared" ref="D53:D64" si="6">D17</f>
        <v>1</v>
      </c>
      <c r="E53" s="64">
        <f>F7</f>
        <v>2250</v>
      </c>
      <c r="F53" s="67">
        <f>D53*E53*F8*F9</f>
        <v>1822.5</v>
      </c>
      <c r="G53" s="67">
        <f>F10*F11*F12</f>
        <v>108090</v>
      </c>
      <c r="H53" s="67">
        <f t="shared" si="0"/>
        <v>255127.5</v>
      </c>
      <c r="I53" s="250">
        <f t="shared" si="3"/>
        <v>255127.5</v>
      </c>
      <c r="J53" s="67">
        <f t="shared" si="1"/>
        <v>255127.5</v>
      </c>
      <c r="L53" s="171"/>
      <c r="Q53" s="57"/>
    </row>
    <row r="54" spans="2:17" s="81" customFormat="1">
      <c r="B54" s="57" t="s">
        <v>117</v>
      </c>
      <c r="C54" s="250">
        <f t="shared" si="2"/>
        <v>255127.5</v>
      </c>
      <c r="D54" s="57">
        <f t="shared" si="6"/>
        <v>2</v>
      </c>
      <c r="E54" s="64">
        <f>F7</f>
        <v>2250</v>
      </c>
      <c r="F54" s="67">
        <f>D54*E54*F8*F9</f>
        <v>3645</v>
      </c>
      <c r="G54" s="67">
        <f>F10*F11*F12</f>
        <v>108090</v>
      </c>
      <c r="H54" s="67">
        <f t="shared" si="0"/>
        <v>150682.5</v>
      </c>
      <c r="I54" s="250">
        <f t="shared" si="3"/>
        <v>150682.5</v>
      </c>
      <c r="J54" s="67">
        <f t="shared" si="1"/>
        <v>150682.5</v>
      </c>
      <c r="L54" s="171"/>
      <c r="Q54" s="57"/>
    </row>
    <row r="55" spans="2:17" s="81" customFormat="1">
      <c r="B55" s="57" t="s">
        <v>118</v>
      </c>
      <c r="C55" s="250">
        <f t="shared" si="2"/>
        <v>150682.5</v>
      </c>
      <c r="D55" s="57">
        <f t="shared" si="6"/>
        <v>9</v>
      </c>
      <c r="E55" s="64">
        <f>F7</f>
        <v>2250</v>
      </c>
      <c r="F55" s="67">
        <f>D55*E55*F8*F9</f>
        <v>16402.5</v>
      </c>
      <c r="G55" s="67">
        <f>F10*F11*F12</f>
        <v>108090</v>
      </c>
      <c r="H55" s="67">
        <f t="shared" si="0"/>
        <v>58995</v>
      </c>
      <c r="I55" s="250">
        <f t="shared" si="3"/>
        <v>58995</v>
      </c>
      <c r="J55" s="67">
        <f t="shared" si="1"/>
        <v>58995</v>
      </c>
      <c r="L55" s="171"/>
      <c r="Q55" s="57"/>
    </row>
    <row r="56" spans="2:17" s="81" customFormat="1">
      <c r="B56" s="57" t="s">
        <v>119</v>
      </c>
      <c r="C56" s="250">
        <f t="shared" si="2"/>
        <v>58995</v>
      </c>
      <c r="D56" s="57">
        <f t="shared" si="6"/>
        <v>34</v>
      </c>
      <c r="E56" s="64">
        <f>F7</f>
        <v>2250</v>
      </c>
      <c r="F56" s="67">
        <f>D56*E56*F8*F9</f>
        <v>61965</v>
      </c>
      <c r="G56" s="67">
        <f>F10*F11*F12</f>
        <v>108090</v>
      </c>
      <c r="H56" s="67">
        <f t="shared" si="0"/>
        <v>12870</v>
      </c>
      <c r="I56" s="250">
        <f t="shared" si="3"/>
        <v>12870</v>
      </c>
      <c r="J56" s="67">
        <f t="shared" si="1"/>
        <v>12870</v>
      </c>
      <c r="L56" s="171"/>
      <c r="Q56" s="57"/>
    </row>
    <row r="57" spans="2:17" s="81" customFormat="1">
      <c r="B57" s="57" t="s">
        <v>120</v>
      </c>
      <c r="C57" s="250">
        <f t="shared" si="2"/>
        <v>12870</v>
      </c>
      <c r="D57" s="57">
        <f t="shared" si="6"/>
        <v>276</v>
      </c>
      <c r="E57" s="64">
        <f>F7</f>
        <v>2250</v>
      </c>
      <c r="F57" s="67">
        <f>D57*E57*F8*F9</f>
        <v>503010</v>
      </c>
      <c r="G57" s="67">
        <f>F10*F11*F12</f>
        <v>108090</v>
      </c>
      <c r="H57" s="67">
        <f t="shared" si="0"/>
        <v>407790</v>
      </c>
      <c r="I57" s="250">
        <f t="shared" si="3"/>
        <v>407790</v>
      </c>
      <c r="J57" s="67">
        <f t="shared" si="1"/>
        <v>407790</v>
      </c>
      <c r="L57" s="171"/>
      <c r="Q57" s="57"/>
    </row>
    <row r="58" spans="2:17" s="81" customFormat="1">
      <c r="B58" s="57" t="s">
        <v>121</v>
      </c>
      <c r="C58" s="250">
        <f t="shared" si="2"/>
        <v>407790</v>
      </c>
      <c r="D58" s="57">
        <f t="shared" si="6"/>
        <v>332</v>
      </c>
      <c r="E58" s="64">
        <f>F7</f>
        <v>2250</v>
      </c>
      <c r="F58" s="67">
        <f>D58*E58*F8*F9</f>
        <v>605070</v>
      </c>
      <c r="G58" s="67">
        <f>F10*F11*F12</f>
        <v>108090</v>
      </c>
      <c r="H58" s="67">
        <f t="shared" si="0"/>
        <v>904770</v>
      </c>
      <c r="I58" s="250">
        <f t="shared" si="3"/>
        <v>904770</v>
      </c>
      <c r="J58" s="67">
        <f t="shared" si="1"/>
        <v>450000</v>
      </c>
      <c r="L58" s="171"/>
      <c r="Q58" s="57"/>
    </row>
    <row r="59" spans="2:17" s="81" customFormat="1">
      <c r="B59" s="57" t="s">
        <v>122</v>
      </c>
      <c r="C59" s="250">
        <f t="shared" si="2"/>
        <v>450000</v>
      </c>
      <c r="D59" s="57">
        <f t="shared" si="6"/>
        <v>179</v>
      </c>
      <c r="E59" s="64">
        <f>F7</f>
        <v>2250</v>
      </c>
      <c r="F59" s="67">
        <f>D59*E59*F8*F9</f>
        <v>326227.5</v>
      </c>
      <c r="G59" s="67">
        <f>F10*F11*F12</f>
        <v>108090</v>
      </c>
      <c r="H59" s="67">
        <f t="shared" si="0"/>
        <v>668137.5</v>
      </c>
      <c r="I59" s="250">
        <f t="shared" si="3"/>
        <v>668137.5</v>
      </c>
      <c r="J59" s="67">
        <f t="shared" si="1"/>
        <v>450000</v>
      </c>
      <c r="L59" s="171"/>
      <c r="Q59" s="57"/>
    </row>
    <row r="60" spans="2:17" s="81" customFormat="1">
      <c r="B60" s="57" t="s">
        <v>123</v>
      </c>
      <c r="C60" s="250">
        <f t="shared" si="2"/>
        <v>450000</v>
      </c>
      <c r="D60" s="57">
        <f t="shared" si="6"/>
        <v>234</v>
      </c>
      <c r="E60" s="64">
        <f>F7</f>
        <v>2250</v>
      </c>
      <c r="F60" s="67">
        <f>D60*E60*F8*F9</f>
        <v>426465</v>
      </c>
      <c r="G60" s="67">
        <f>F10*F11*F12</f>
        <v>108090</v>
      </c>
      <c r="H60" s="67">
        <f t="shared" si="0"/>
        <v>768375</v>
      </c>
      <c r="I60" s="250">
        <f t="shared" si="3"/>
        <v>768375</v>
      </c>
      <c r="J60" s="67">
        <f t="shared" si="1"/>
        <v>450000</v>
      </c>
      <c r="L60" s="171"/>
      <c r="Q60" s="57"/>
    </row>
    <row r="61" spans="2:17" s="81" customFormat="1">
      <c r="B61" s="57" t="s">
        <v>124</v>
      </c>
      <c r="C61" s="250">
        <f t="shared" si="2"/>
        <v>450000</v>
      </c>
      <c r="D61" s="57">
        <f t="shared" si="6"/>
        <v>412</v>
      </c>
      <c r="E61" s="64">
        <f>F7</f>
        <v>2250</v>
      </c>
      <c r="F61" s="67">
        <f>D61*E61*F8*F9</f>
        <v>750870</v>
      </c>
      <c r="G61" s="67">
        <f>F10*F11*F12</f>
        <v>108090</v>
      </c>
      <c r="H61" s="67">
        <f t="shared" si="0"/>
        <v>1092780</v>
      </c>
      <c r="I61" s="250">
        <f t="shared" si="3"/>
        <v>1092780</v>
      </c>
      <c r="J61" s="67">
        <f t="shared" si="1"/>
        <v>450000</v>
      </c>
      <c r="L61" s="171"/>
      <c r="Q61" s="57"/>
    </row>
    <row r="62" spans="2:17" s="81" customFormat="1">
      <c r="B62" s="57" t="s">
        <v>125</v>
      </c>
      <c r="C62" s="250">
        <f t="shared" si="2"/>
        <v>450000</v>
      </c>
      <c r="D62" s="57">
        <f t="shared" si="6"/>
        <v>306</v>
      </c>
      <c r="E62" s="64">
        <f>F7</f>
        <v>2250</v>
      </c>
      <c r="F62" s="67">
        <f>D62*E62*F8*F9</f>
        <v>557685</v>
      </c>
      <c r="G62" s="67">
        <f>F10*F11*F12</f>
        <v>108090</v>
      </c>
      <c r="H62" s="67">
        <f t="shared" si="0"/>
        <v>899595</v>
      </c>
      <c r="I62" s="250">
        <f t="shared" si="3"/>
        <v>899595</v>
      </c>
      <c r="J62" s="67">
        <f t="shared" si="1"/>
        <v>450000</v>
      </c>
      <c r="L62" s="171"/>
      <c r="Q62" s="57"/>
    </row>
    <row r="63" spans="2:17" s="81" customFormat="1">
      <c r="B63" s="57" t="s">
        <v>126</v>
      </c>
      <c r="C63" s="250">
        <f t="shared" si="2"/>
        <v>450000</v>
      </c>
      <c r="D63" s="57">
        <f t="shared" si="6"/>
        <v>59</v>
      </c>
      <c r="E63" s="64">
        <f>F7</f>
        <v>2250</v>
      </c>
      <c r="F63" s="67">
        <f>D63*E63*F8*F9</f>
        <v>107527.5</v>
      </c>
      <c r="G63" s="67">
        <f>F10*F11*F12</f>
        <v>108090</v>
      </c>
      <c r="H63" s="67">
        <f t="shared" si="0"/>
        <v>449437.5</v>
      </c>
      <c r="I63" s="250">
        <f t="shared" si="3"/>
        <v>449437.5</v>
      </c>
      <c r="J63" s="67">
        <f t="shared" si="1"/>
        <v>449437.5</v>
      </c>
      <c r="L63" s="171"/>
      <c r="Q63" s="57"/>
    </row>
    <row r="64" spans="2:17" s="81" customFormat="1">
      <c r="B64" s="57" t="s">
        <v>127</v>
      </c>
      <c r="C64" s="250">
        <f t="shared" si="2"/>
        <v>449437.5</v>
      </c>
      <c r="D64" s="57">
        <f t="shared" si="6"/>
        <v>11</v>
      </c>
      <c r="E64" s="64">
        <f>F7</f>
        <v>2250</v>
      </c>
      <c r="F64" s="67">
        <f>D64*E64*F8*F9</f>
        <v>20047.5</v>
      </c>
      <c r="G64" s="67">
        <f>F10*F11*F12</f>
        <v>108090</v>
      </c>
      <c r="H64" s="67">
        <f t="shared" si="0"/>
        <v>361395</v>
      </c>
      <c r="I64" s="250">
        <f t="shared" si="3"/>
        <v>361395</v>
      </c>
      <c r="J64" s="67">
        <f t="shared" si="1"/>
        <v>361395</v>
      </c>
      <c r="L64" s="171"/>
      <c r="Q64" s="57"/>
    </row>
    <row r="65" spans="2:17" s="81" customFormat="1">
      <c r="B65" s="57"/>
      <c r="C65" s="57"/>
      <c r="D65" s="57"/>
      <c r="E65" s="57"/>
      <c r="F65" s="67">
        <f>SUM(F53:F64)</f>
        <v>3380737.5</v>
      </c>
      <c r="H65" s="57"/>
      <c r="I65" s="57"/>
      <c r="J65" s="57"/>
      <c r="K65" s="57"/>
      <c r="L65" s="57"/>
      <c r="M65" s="57"/>
      <c r="P65" s="57"/>
      <c r="Q65" s="57"/>
    </row>
    <row r="66" spans="2:17" s="81" customForma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s="81" customFormat="1"/>
    <row r="68" spans="2:17" s="81" customFormat="1"/>
    <row r="69" spans="2:17" s="81" customFormat="1"/>
    <row r="70" spans="2:17" s="81" customFormat="1"/>
    <row r="71" spans="2:17" s="81" customFormat="1"/>
    <row r="72" spans="2:17" s="81" customFormat="1"/>
    <row r="73" spans="2:17" s="81" customFormat="1"/>
    <row r="74" spans="2:17" s="81" customFormat="1"/>
    <row r="75" spans="2:17" s="81" customFormat="1"/>
    <row r="76" spans="2:17" s="81" customFormat="1"/>
    <row r="77" spans="2:17" s="81" customFormat="1"/>
    <row r="78" spans="2:17" s="81" customFormat="1"/>
    <row r="79" spans="2:17" s="81" customFormat="1"/>
    <row r="80" spans="2:17" s="81" customFormat="1"/>
    <row r="81" s="81" customFormat="1"/>
    <row r="82" s="81" customFormat="1"/>
    <row r="83" s="81" customFormat="1"/>
    <row r="84" s="81" customFormat="1"/>
    <row r="85" s="81" customFormat="1"/>
    <row r="86" s="81" customFormat="1"/>
    <row r="87" s="81" customFormat="1"/>
    <row r="88" s="81" customFormat="1"/>
    <row r="89" s="81" customFormat="1"/>
    <row r="90" s="81" customFormat="1"/>
    <row r="91" s="81" customFormat="1"/>
    <row r="92" s="81" customFormat="1"/>
    <row r="93" s="81" customFormat="1"/>
    <row r="94" s="81" customFormat="1"/>
    <row r="95" s="81" customFormat="1"/>
    <row r="96" s="81" customFormat="1"/>
    <row r="97" s="81" customFormat="1"/>
    <row r="98" s="81" customFormat="1"/>
    <row r="99" s="81" customFormat="1"/>
    <row r="100" s="81" customFormat="1"/>
    <row r="101" s="81" customFormat="1"/>
    <row r="102" s="81" customFormat="1"/>
    <row r="103" s="81" customFormat="1"/>
    <row r="104" s="81" customFormat="1"/>
    <row r="105" s="81" customFormat="1"/>
    <row r="106" s="81" customFormat="1"/>
    <row r="107" s="81" customFormat="1"/>
    <row r="108" s="81" customFormat="1"/>
    <row r="109" s="81" customFormat="1"/>
    <row r="110" s="81" customFormat="1"/>
    <row r="111" s="81" customFormat="1"/>
    <row r="112" s="81" customFormat="1"/>
    <row r="113" s="81" customFormat="1"/>
    <row r="114" s="81" customFormat="1"/>
    <row r="115" s="81" customFormat="1"/>
    <row r="116" s="81" customFormat="1"/>
    <row r="117" s="81" customFormat="1"/>
    <row r="118" s="81" customFormat="1"/>
    <row r="119" s="81" customFormat="1"/>
    <row r="120" s="81" customFormat="1"/>
    <row r="121" s="81" customFormat="1"/>
    <row r="122" s="81" customFormat="1"/>
    <row r="123" s="81" customFormat="1"/>
    <row r="124" s="81" customFormat="1"/>
    <row r="125" s="81" customFormat="1"/>
    <row r="126" s="81" customFormat="1"/>
    <row r="127" s="81" customFormat="1"/>
    <row r="128" s="81" customFormat="1"/>
    <row r="129" s="81" customFormat="1"/>
    <row r="130" s="81" customFormat="1"/>
    <row r="131" s="81" customFormat="1"/>
    <row r="132" s="81" customFormat="1"/>
    <row r="133" s="81" customFormat="1"/>
    <row r="134" s="81" customFormat="1"/>
    <row r="135" s="81" customFormat="1"/>
    <row r="136" s="81" customFormat="1"/>
    <row r="137" s="81" customFormat="1"/>
    <row r="138" s="81" customFormat="1"/>
    <row r="139" s="81" customFormat="1"/>
    <row r="140" s="81" customFormat="1"/>
    <row r="141" s="81" customFormat="1"/>
    <row r="142" s="81" customFormat="1"/>
    <row r="143" s="81" customFormat="1"/>
    <row r="144" s="81" customFormat="1"/>
    <row r="145" s="81" customFormat="1"/>
    <row r="146" s="81" customFormat="1"/>
    <row r="147" s="81" customFormat="1"/>
    <row r="148" s="81" customFormat="1"/>
    <row r="149" s="81" customFormat="1"/>
    <row r="150" s="81" customFormat="1"/>
    <row r="151" s="81" customFormat="1"/>
    <row r="152" s="81" customFormat="1"/>
    <row r="153" s="81" customFormat="1"/>
    <row r="154" s="81" customFormat="1"/>
    <row r="155" s="81" customFormat="1"/>
    <row r="156" s="81" customFormat="1"/>
    <row r="157" s="81" customFormat="1"/>
    <row r="158" s="81" customFormat="1"/>
    <row r="159" s="81" customFormat="1"/>
    <row r="160" s="81" customFormat="1"/>
    <row r="161" s="81" customFormat="1"/>
    <row r="162" s="81" customFormat="1"/>
    <row r="163" s="81" customFormat="1"/>
    <row r="164" s="81" customFormat="1"/>
    <row r="165" s="81" customFormat="1"/>
    <row r="166" s="81" customFormat="1"/>
  </sheetData>
  <conditionalFormatting sqref="H17:H64">
    <cfRule type="cellIs" dxfId="8" priority="2" operator="lessThan">
      <formula>0</formula>
    </cfRule>
    <cfRule type="cellIs" dxfId="7" priority="3" operator="lessThanOrEqual">
      <formula>$F$13*0.1</formula>
    </cfRule>
  </conditionalFormatting>
  <conditionalFormatting sqref="J17:J64">
    <cfRule type="cellIs" dxfId="6" priority="1" operator="greaterThanOrEqual">
      <formula>$F$13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'Hidden input'!$A$14:$A$15</xm:f>
          </x14:formula1>
          <xm:sqref>C6</xm:sqref>
        </x14:dataValidation>
        <x14:dataValidation type="list" allowBlank="1" showInputMessage="1" showErrorMessage="1">
          <x14:formula1>
            <xm:f>'Hidden input'!$B$3:$B$4</xm:f>
          </x14:formula1>
          <xm:sqref>C5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/>
  <dimension ref="B1:Q166"/>
  <sheetViews>
    <sheetView topLeftCell="A4" workbookViewId="0">
      <selection activeCell="F13" sqref="F13"/>
    </sheetView>
  </sheetViews>
  <sheetFormatPr baseColWidth="10" defaultColWidth="8.83203125" defaultRowHeight="14" x14ac:dyDescent="0"/>
  <cols>
    <col min="1" max="1" width="2.83203125" style="81" customWidth="1"/>
    <col min="2" max="2" width="20" style="81" customWidth="1"/>
    <col min="3" max="3" width="10.83203125" style="3" customWidth="1"/>
    <col min="4" max="4" width="13.5" style="3" customWidth="1"/>
    <col min="5" max="5" width="20.1640625" style="3" customWidth="1"/>
    <col min="6" max="6" width="14.5" style="3" customWidth="1"/>
    <col min="7" max="7" width="11.1640625" style="3" customWidth="1"/>
    <col min="8" max="8" width="12.33203125" style="3" customWidth="1"/>
    <col min="9" max="9" width="8.83203125" style="3" bestFit="1" customWidth="1"/>
    <col min="10" max="10" width="12.6640625" style="3" customWidth="1"/>
    <col min="11" max="11" width="12.5" style="3" customWidth="1"/>
    <col min="12" max="12" width="11.5" style="3" customWidth="1"/>
    <col min="13" max="13" width="14.6640625" style="3" customWidth="1"/>
    <col min="14" max="14" width="19" style="3" customWidth="1"/>
    <col min="15" max="15" width="20" style="3" customWidth="1"/>
    <col min="16" max="16" width="18.5" style="81" customWidth="1"/>
    <col min="17" max="16384" width="8.83203125" style="81"/>
  </cols>
  <sheetData>
    <row r="1" spans="2:17"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17" ht="18">
      <c r="B2" s="49" t="s">
        <v>185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2:17">
      <c r="B3" s="57" t="s">
        <v>36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2:17"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2:17">
      <c r="B5" s="188" t="s">
        <v>294</v>
      </c>
      <c r="C5" s="17" t="s">
        <v>96</v>
      </c>
      <c r="D5" s="81"/>
      <c r="E5" s="127" t="s">
        <v>187</v>
      </c>
      <c r="F5" s="142"/>
      <c r="G5" s="57"/>
      <c r="H5" s="81"/>
      <c r="I5" s="81"/>
      <c r="J5" s="81"/>
      <c r="K5" s="81"/>
      <c r="L5" s="81"/>
      <c r="M5" s="81"/>
      <c r="N5" s="81"/>
      <c r="O5" s="81"/>
    </row>
    <row r="6" spans="2:17">
      <c r="B6" s="242" t="s">
        <v>163</v>
      </c>
      <c r="C6" s="17" t="s">
        <v>67</v>
      </c>
      <c r="D6" s="81"/>
      <c r="E6" s="4" t="s">
        <v>98</v>
      </c>
      <c r="F6" s="193">
        <v>0</v>
      </c>
      <c r="G6" s="57"/>
      <c r="H6" s="243"/>
      <c r="I6" s="81"/>
      <c r="J6" s="81"/>
      <c r="K6" s="81"/>
      <c r="L6" s="243"/>
      <c r="M6" s="243"/>
      <c r="N6" s="243"/>
      <c r="O6" s="243"/>
    </row>
    <row r="7" spans="2:17" ht="16">
      <c r="C7" s="81"/>
      <c r="D7" s="57"/>
      <c r="E7" s="4" t="s">
        <v>297</v>
      </c>
      <c r="F7" s="253">
        <f>'Real Estate'!H36*F10-'Real Estate'!H11</f>
        <v>2250</v>
      </c>
      <c r="G7" s="57" t="s">
        <v>158</v>
      </c>
      <c r="H7" s="243"/>
      <c r="I7" s="81"/>
      <c r="J7" s="81"/>
      <c r="K7" s="81"/>
      <c r="L7" s="243"/>
      <c r="M7" s="243"/>
      <c r="N7" s="243"/>
      <c r="O7" s="243"/>
      <c r="P7" s="57"/>
      <c r="Q7" s="57"/>
    </row>
    <row r="8" spans="2:17" ht="15" customHeight="1">
      <c r="C8" s="81"/>
      <c r="D8" s="81"/>
      <c r="E8" s="4" t="s">
        <v>99</v>
      </c>
      <c r="F8" s="193">
        <v>0.9</v>
      </c>
      <c r="G8" s="57"/>
      <c r="H8" s="243"/>
      <c r="I8" s="81"/>
      <c r="J8" s="81"/>
      <c r="K8" s="81"/>
      <c r="L8" s="243"/>
      <c r="M8" s="243"/>
      <c r="N8" s="243"/>
      <c r="O8" s="243"/>
      <c r="P8" s="244"/>
      <c r="Q8" s="57"/>
    </row>
    <row r="9" spans="2:17">
      <c r="B9" s="18" t="s">
        <v>162</v>
      </c>
      <c r="C9" s="81"/>
      <c r="D9" s="81"/>
      <c r="E9" s="4" t="s">
        <v>100</v>
      </c>
      <c r="F9" s="193">
        <v>0.9</v>
      </c>
      <c r="G9" s="57"/>
      <c r="H9" s="243"/>
      <c r="I9" s="81"/>
      <c r="J9" s="81"/>
      <c r="K9" s="81"/>
      <c r="L9" s="243"/>
      <c r="M9" s="243"/>
      <c r="N9" s="243"/>
      <c r="O9" s="243"/>
      <c r="P9" s="244"/>
      <c r="Q9" s="57"/>
    </row>
    <row r="10" spans="2:17" ht="15" customHeight="1">
      <c r="C10" s="81"/>
      <c r="D10" s="81"/>
      <c r="E10" s="4" t="s">
        <v>101</v>
      </c>
      <c r="F10" s="193">
        <v>30</v>
      </c>
      <c r="G10" s="57"/>
      <c r="H10" s="244"/>
      <c r="I10" s="81"/>
      <c r="J10" s="81"/>
      <c r="K10" s="81"/>
      <c r="L10" s="244"/>
      <c r="M10" s="244"/>
      <c r="N10" s="244"/>
      <c r="O10" s="244"/>
      <c r="P10" s="244"/>
      <c r="Q10" s="57"/>
    </row>
    <row r="11" spans="2:17">
      <c r="C11" s="81"/>
      <c r="D11" s="81"/>
      <c r="E11" s="4" t="s">
        <v>102</v>
      </c>
      <c r="F11" s="193">
        <f>(INDEX('Hidden input'!B5:C6, MATCH(C5, 'Hidden input'!B5:B6, 0), 2))*30</f>
        <v>862.5</v>
      </c>
      <c r="G11" s="57" t="s">
        <v>159</v>
      </c>
      <c r="H11" s="244"/>
      <c r="I11" s="81"/>
      <c r="J11" s="81"/>
      <c r="K11" s="81"/>
      <c r="L11" s="244"/>
      <c r="M11" s="244"/>
      <c r="N11" s="244"/>
      <c r="O11" s="244"/>
      <c r="P11" s="244"/>
      <c r="Q11" s="57"/>
    </row>
    <row r="12" spans="2:17">
      <c r="B12" s="57" t="s">
        <v>186</v>
      </c>
      <c r="C12" s="81"/>
      <c r="D12" s="81"/>
      <c r="E12" s="4" t="s">
        <v>103</v>
      </c>
      <c r="F12" s="193">
        <v>1</v>
      </c>
      <c r="G12" s="57"/>
      <c r="H12" s="57"/>
      <c r="I12" s="81"/>
      <c r="J12" s="81"/>
      <c r="K12" s="81"/>
      <c r="L12" s="57"/>
      <c r="M12" s="57"/>
      <c r="N12" s="57"/>
      <c r="O12" s="57"/>
      <c r="P12" s="57"/>
      <c r="Q12" s="57"/>
    </row>
    <row r="13" spans="2:17">
      <c r="B13" s="57" t="s">
        <v>323</v>
      </c>
      <c r="C13" s="81"/>
      <c r="D13" s="81"/>
      <c r="E13" s="13" t="s">
        <v>104</v>
      </c>
      <c r="F13" s="245">
        <v>150000</v>
      </c>
      <c r="G13" s="57"/>
      <c r="H13" s="57"/>
      <c r="I13" s="81"/>
      <c r="J13" s="81"/>
      <c r="K13" s="81"/>
      <c r="L13" s="57"/>
      <c r="M13" s="57"/>
      <c r="N13" s="81"/>
      <c r="O13" s="81"/>
      <c r="P13" s="57"/>
      <c r="Q13" s="57"/>
    </row>
    <row r="14" spans="2:17">
      <c r="B14" s="57" t="s">
        <v>164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2:17" ht="15" customHeight="1">
      <c r="B15" s="24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2:17" s="247" customFormat="1" ht="31.5" customHeight="1">
      <c r="B16" s="248" t="s">
        <v>105</v>
      </c>
      <c r="C16" s="254" t="s">
        <v>106</v>
      </c>
      <c r="D16" s="254" t="s">
        <v>165</v>
      </c>
      <c r="E16" s="254" t="s">
        <v>157</v>
      </c>
      <c r="F16" s="254" t="s">
        <v>107</v>
      </c>
      <c r="G16" s="254" t="s">
        <v>108</v>
      </c>
      <c r="H16" s="254" t="s">
        <v>109</v>
      </c>
      <c r="I16" s="254" t="s">
        <v>112</v>
      </c>
      <c r="J16" s="254" t="s">
        <v>113</v>
      </c>
      <c r="K16" s="254" t="s">
        <v>114</v>
      </c>
      <c r="L16" s="254" t="s">
        <v>115</v>
      </c>
      <c r="Q16" s="249"/>
    </row>
    <row r="17" spans="2:17">
      <c r="B17" s="57" t="s">
        <v>116</v>
      </c>
      <c r="C17" s="250">
        <f>F6</f>
        <v>0</v>
      </c>
      <c r="D17" s="57">
        <f>VLOOKUP($C6, 'Hidden input'!A14:M15, 2, FALSE)</f>
        <v>1</v>
      </c>
      <c r="E17" s="64">
        <f>F7</f>
        <v>2250</v>
      </c>
      <c r="F17" s="57">
        <f>F8</f>
        <v>0.9</v>
      </c>
      <c r="G17" s="57">
        <f>F9</f>
        <v>0.9</v>
      </c>
      <c r="H17" s="67">
        <f>D17*E17*F17*G17</f>
        <v>1822.5</v>
      </c>
      <c r="I17" s="67">
        <f>F10*F11*F12</f>
        <v>25875</v>
      </c>
      <c r="J17" s="67">
        <f t="shared" ref="J17:J64" si="0">C17+H17-I17</f>
        <v>-24052.5</v>
      </c>
      <c r="K17" s="250">
        <f>IF(J17&gt;0,J17,0)</f>
        <v>0</v>
      </c>
      <c r="L17" s="67">
        <f t="shared" ref="L17:L64" si="1">IF(K17&gt;$F$13,$F$13,K17)</f>
        <v>0</v>
      </c>
      <c r="Q17" s="57"/>
    </row>
    <row r="18" spans="2:17">
      <c r="B18" s="57" t="s">
        <v>117</v>
      </c>
      <c r="C18" s="250">
        <f t="shared" ref="C18:C64" si="2">L17</f>
        <v>0</v>
      </c>
      <c r="D18" s="57">
        <f>VLOOKUP($C6, 'Hidden input'!A14:M15, 3, FALSE)</f>
        <v>2</v>
      </c>
      <c r="E18" s="64">
        <f>F7</f>
        <v>2250</v>
      </c>
      <c r="F18" s="57">
        <f>F8</f>
        <v>0.9</v>
      </c>
      <c r="G18" s="57">
        <f>F9</f>
        <v>0.9</v>
      </c>
      <c r="H18" s="67">
        <f t="shared" ref="H18:H64" si="3">D18*E18*F18*G18</f>
        <v>3645</v>
      </c>
      <c r="I18" s="67">
        <f>F10*F11*F12</f>
        <v>25875</v>
      </c>
      <c r="J18" s="67">
        <f t="shared" si="0"/>
        <v>-22230</v>
      </c>
      <c r="K18" s="250">
        <f t="shared" ref="K18:K64" si="4">IF(J18&gt;0,J18,0)</f>
        <v>0</v>
      </c>
      <c r="L18" s="67">
        <f t="shared" si="1"/>
        <v>0</v>
      </c>
      <c r="Q18" s="57"/>
    </row>
    <row r="19" spans="2:17">
      <c r="B19" s="57" t="s">
        <v>118</v>
      </c>
      <c r="C19" s="250">
        <f t="shared" si="2"/>
        <v>0</v>
      </c>
      <c r="D19" s="57">
        <f>VLOOKUP($C6, 'Hidden input'!A14:M15, 4, FALSE)</f>
        <v>9</v>
      </c>
      <c r="E19" s="64">
        <f>F7</f>
        <v>2250</v>
      </c>
      <c r="F19" s="57">
        <f>F8</f>
        <v>0.9</v>
      </c>
      <c r="G19" s="57">
        <f>F9</f>
        <v>0.9</v>
      </c>
      <c r="H19" s="67">
        <f t="shared" si="3"/>
        <v>16402.5</v>
      </c>
      <c r="I19" s="67">
        <f>F10*F11*F12</f>
        <v>25875</v>
      </c>
      <c r="J19" s="67">
        <f t="shared" si="0"/>
        <v>-9472.5</v>
      </c>
      <c r="K19" s="250">
        <f t="shared" si="4"/>
        <v>0</v>
      </c>
      <c r="L19" s="67">
        <f t="shared" si="1"/>
        <v>0</v>
      </c>
      <c r="Q19" s="57"/>
    </row>
    <row r="20" spans="2:17">
      <c r="B20" s="57" t="s">
        <v>119</v>
      </c>
      <c r="C20" s="250">
        <f t="shared" si="2"/>
        <v>0</v>
      </c>
      <c r="D20" s="57">
        <f>VLOOKUP($C6, 'Hidden input'!A14:M15, 5, FALSE)</f>
        <v>34</v>
      </c>
      <c r="E20" s="64">
        <f>F7</f>
        <v>2250</v>
      </c>
      <c r="F20" s="57">
        <f>F8</f>
        <v>0.9</v>
      </c>
      <c r="G20" s="57">
        <f>F9</f>
        <v>0.9</v>
      </c>
      <c r="H20" s="67">
        <f t="shared" si="3"/>
        <v>61965</v>
      </c>
      <c r="I20" s="67">
        <f>F10*F11*F12</f>
        <v>25875</v>
      </c>
      <c r="J20" s="67">
        <f t="shared" si="0"/>
        <v>36090</v>
      </c>
      <c r="K20" s="250">
        <f t="shared" si="4"/>
        <v>36090</v>
      </c>
      <c r="L20" s="67">
        <f t="shared" si="1"/>
        <v>36090</v>
      </c>
      <c r="Q20" s="57"/>
    </row>
    <row r="21" spans="2:17">
      <c r="B21" s="57" t="s">
        <v>120</v>
      </c>
      <c r="C21" s="250">
        <f t="shared" si="2"/>
        <v>36090</v>
      </c>
      <c r="D21" s="57">
        <f>VLOOKUP($C6, 'Hidden input'!A14:M15, 6, FALSE)</f>
        <v>276</v>
      </c>
      <c r="E21" s="64">
        <f>F7</f>
        <v>2250</v>
      </c>
      <c r="F21" s="57">
        <f>F8</f>
        <v>0.9</v>
      </c>
      <c r="G21" s="57">
        <f>F9</f>
        <v>0.9</v>
      </c>
      <c r="H21" s="67">
        <f t="shared" si="3"/>
        <v>503010</v>
      </c>
      <c r="I21" s="67">
        <f>F10*F11*F12</f>
        <v>25875</v>
      </c>
      <c r="J21" s="67">
        <f t="shared" si="0"/>
        <v>513225</v>
      </c>
      <c r="K21" s="250">
        <f t="shared" si="4"/>
        <v>513225</v>
      </c>
      <c r="L21" s="67">
        <f t="shared" si="1"/>
        <v>150000</v>
      </c>
      <c r="Q21" s="57"/>
    </row>
    <row r="22" spans="2:17">
      <c r="B22" s="57" t="s">
        <v>121</v>
      </c>
      <c r="C22" s="250">
        <f t="shared" si="2"/>
        <v>150000</v>
      </c>
      <c r="D22" s="57">
        <f>VLOOKUP($C6, 'Hidden input'!A14:M15, 7, FALSE)</f>
        <v>332</v>
      </c>
      <c r="E22" s="64">
        <f>F7</f>
        <v>2250</v>
      </c>
      <c r="F22" s="57">
        <f>F8</f>
        <v>0.9</v>
      </c>
      <c r="G22" s="57">
        <f>F9</f>
        <v>0.9</v>
      </c>
      <c r="H22" s="67">
        <f t="shared" si="3"/>
        <v>605070</v>
      </c>
      <c r="I22" s="67">
        <f>F10*F11*F12</f>
        <v>25875</v>
      </c>
      <c r="J22" s="67">
        <f t="shared" si="0"/>
        <v>729195</v>
      </c>
      <c r="K22" s="250">
        <f t="shared" si="4"/>
        <v>729195</v>
      </c>
      <c r="L22" s="67">
        <f t="shared" si="1"/>
        <v>150000</v>
      </c>
      <c r="Q22" s="57"/>
    </row>
    <row r="23" spans="2:17">
      <c r="B23" s="57" t="s">
        <v>122</v>
      </c>
      <c r="C23" s="250">
        <f t="shared" si="2"/>
        <v>150000</v>
      </c>
      <c r="D23" s="57">
        <f>VLOOKUP($C6, 'Hidden input'!A14:M15, 8, FALSE)</f>
        <v>179</v>
      </c>
      <c r="E23" s="64">
        <f>F7</f>
        <v>2250</v>
      </c>
      <c r="F23" s="57">
        <f>F8</f>
        <v>0.9</v>
      </c>
      <c r="G23" s="57">
        <f>F9</f>
        <v>0.9</v>
      </c>
      <c r="H23" s="67">
        <f t="shared" si="3"/>
        <v>326227.5</v>
      </c>
      <c r="I23" s="67">
        <f>F10*F11*F12</f>
        <v>25875</v>
      </c>
      <c r="J23" s="67">
        <f t="shared" si="0"/>
        <v>450352.5</v>
      </c>
      <c r="K23" s="250">
        <f t="shared" si="4"/>
        <v>450352.5</v>
      </c>
      <c r="L23" s="67">
        <f t="shared" si="1"/>
        <v>150000</v>
      </c>
      <c r="Q23" s="57"/>
    </row>
    <row r="24" spans="2:17">
      <c r="B24" s="57" t="s">
        <v>123</v>
      </c>
      <c r="C24" s="250">
        <f t="shared" si="2"/>
        <v>150000</v>
      </c>
      <c r="D24" s="57">
        <f>VLOOKUP($C6, 'Hidden input'!A14:M15, 9, FALSE)</f>
        <v>234</v>
      </c>
      <c r="E24" s="64">
        <f>F7</f>
        <v>2250</v>
      </c>
      <c r="F24" s="57">
        <f>F8</f>
        <v>0.9</v>
      </c>
      <c r="G24" s="57">
        <f>F9</f>
        <v>0.9</v>
      </c>
      <c r="H24" s="67">
        <f t="shared" si="3"/>
        <v>426465</v>
      </c>
      <c r="I24" s="67">
        <f>F10*F11*F12</f>
        <v>25875</v>
      </c>
      <c r="J24" s="67">
        <f t="shared" si="0"/>
        <v>550590</v>
      </c>
      <c r="K24" s="250">
        <f t="shared" si="4"/>
        <v>550590</v>
      </c>
      <c r="L24" s="67">
        <f t="shared" si="1"/>
        <v>150000</v>
      </c>
      <c r="Q24" s="57"/>
    </row>
    <row r="25" spans="2:17">
      <c r="B25" s="57" t="s">
        <v>124</v>
      </c>
      <c r="C25" s="250">
        <f t="shared" si="2"/>
        <v>150000</v>
      </c>
      <c r="D25" s="57">
        <f>VLOOKUP($C6, 'Hidden input'!A14:M15, 10, FALSE)</f>
        <v>412</v>
      </c>
      <c r="E25" s="64">
        <f>F7</f>
        <v>2250</v>
      </c>
      <c r="F25" s="57">
        <f>F8</f>
        <v>0.9</v>
      </c>
      <c r="G25" s="57">
        <f>F9</f>
        <v>0.9</v>
      </c>
      <c r="H25" s="67">
        <f t="shared" si="3"/>
        <v>750870</v>
      </c>
      <c r="I25" s="67">
        <f>F10*F11*F12</f>
        <v>25875</v>
      </c>
      <c r="J25" s="67">
        <f t="shared" si="0"/>
        <v>874995</v>
      </c>
      <c r="K25" s="250">
        <f t="shared" si="4"/>
        <v>874995</v>
      </c>
      <c r="L25" s="67">
        <f t="shared" si="1"/>
        <v>150000</v>
      </c>
      <c r="Q25" s="57"/>
    </row>
    <row r="26" spans="2:17">
      <c r="B26" s="57" t="s">
        <v>125</v>
      </c>
      <c r="C26" s="250">
        <f t="shared" si="2"/>
        <v>150000</v>
      </c>
      <c r="D26" s="57">
        <f>VLOOKUP($C6, 'Hidden input'!A14:M15, 11, FALSE)</f>
        <v>306</v>
      </c>
      <c r="E26" s="64">
        <f>F7</f>
        <v>2250</v>
      </c>
      <c r="F26" s="57">
        <f>F8</f>
        <v>0.9</v>
      </c>
      <c r="G26" s="57">
        <f>F9</f>
        <v>0.9</v>
      </c>
      <c r="H26" s="67">
        <f t="shared" si="3"/>
        <v>557685</v>
      </c>
      <c r="I26" s="67">
        <f>F10*F11*F12</f>
        <v>25875</v>
      </c>
      <c r="J26" s="67">
        <f t="shared" si="0"/>
        <v>681810</v>
      </c>
      <c r="K26" s="250">
        <f t="shared" si="4"/>
        <v>681810</v>
      </c>
      <c r="L26" s="67">
        <f t="shared" si="1"/>
        <v>150000</v>
      </c>
      <c r="Q26" s="57"/>
    </row>
    <row r="27" spans="2:17">
      <c r="B27" s="57" t="s">
        <v>126</v>
      </c>
      <c r="C27" s="250">
        <f t="shared" si="2"/>
        <v>150000</v>
      </c>
      <c r="D27" s="57">
        <f>VLOOKUP($C6, 'Hidden input'!A14:M15, 12, FALSE)</f>
        <v>59</v>
      </c>
      <c r="E27" s="64">
        <f>F7</f>
        <v>2250</v>
      </c>
      <c r="F27" s="57">
        <f>F8</f>
        <v>0.9</v>
      </c>
      <c r="G27" s="57">
        <f>F9</f>
        <v>0.9</v>
      </c>
      <c r="H27" s="67">
        <f t="shared" si="3"/>
        <v>107527.5</v>
      </c>
      <c r="I27" s="67">
        <f>F10*F11*F12</f>
        <v>25875</v>
      </c>
      <c r="J27" s="67">
        <f t="shared" si="0"/>
        <v>231652.5</v>
      </c>
      <c r="K27" s="250">
        <f t="shared" si="4"/>
        <v>231652.5</v>
      </c>
      <c r="L27" s="67">
        <f t="shared" si="1"/>
        <v>150000</v>
      </c>
      <c r="Q27" s="57"/>
    </row>
    <row r="28" spans="2:17">
      <c r="B28" s="14" t="s">
        <v>127</v>
      </c>
      <c r="C28" s="251">
        <f t="shared" si="2"/>
        <v>150000</v>
      </c>
      <c r="D28" s="14">
        <f>VLOOKUP($C6, 'Hidden input'!A14:M15, 13, FALSE)</f>
        <v>11</v>
      </c>
      <c r="E28" s="117">
        <f>F7</f>
        <v>2250</v>
      </c>
      <c r="F28" s="14">
        <f>F8</f>
        <v>0.9</v>
      </c>
      <c r="G28" s="14">
        <f>F9</f>
        <v>0.9</v>
      </c>
      <c r="H28" s="137">
        <f t="shared" si="3"/>
        <v>20047.5</v>
      </c>
      <c r="I28" s="137">
        <f>F10*F11*F12</f>
        <v>25875</v>
      </c>
      <c r="J28" s="137">
        <f t="shared" si="0"/>
        <v>144172.5</v>
      </c>
      <c r="K28" s="251">
        <f t="shared" si="4"/>
        <v>144172.5</v>
      </c>
      <c r="L28" s="137">
        <f t="shared" si="1"/>
        <v>144172.5</v>
      </c>
      <c r="Q28" s="57"/>
    </row>
    <row r="29" spans="2:17">
      <c r="B29" s="57" t="s">
        <v>116</v>
      </c>
      <c r="C29" s="250">
        <f t="shared" si="2"/>
        <v>144172.5</v>
      </c>
      <c r="D29" s="57">
        <f t="shared" ref="D29:D40" si="5">D17</f>
        <v>1</v>
      </c>
      <c r="E29" s="64">
        <f>F7</f>
        <v>2250</v>
      </c>
      <c r="F29" s="57">
        <f>F8</f>
        <v>0.9</v>
      </c>
      <c r="G29" s="57">
        <f>F9</f>
        <v>0.9</v>
      </c>
      <c r="H29" s="67">
        <f t="shared" si="3"/>
        <v>1822.5</v>
      </c>
      <c r="I29" s="67">
        <f>F10*F11*F12</f>
        <v>25875</v>
      </c>
      <c r="J29" s="67">
        <f t="shared" si="0"/>
        <v>120120</v>
      </c>
      <c r="K29" s="250">
        <f t="shared" si="4"/>
        <v>120120</v>
      </c>
      <c r="L29" s="67">
        <f t="shared" si="1"/>
        <v>120120</v>
      </c>
      <c r="Q29" s="57"/>
    </row>
    <row r="30" spans="2:17">
      <c r="B30" s="57" t="s">
        <v>117</v>
      </c>
      <c r="C30" s="250">
        <f t="shared" si="2"/>
        <v>120120</v>
      </c>
      <c r="D30" s="57">
        <f t="shared" si="5"/>
        <v>2</v>
      </c>
      <c r="E30" s="64">
        <f>F7</f>
        <v>2250</v>
      </c>
      <c r="F30" s="57">
        <f>F8</f>
        <v>0.9</v>
      </c>
      <c r="G30" s="57">
        <f>F9</f>
        <v>0.9</v>
      </c>
      <c r="H30" s="67">
        <f t="shared" si="3"/>
        <v>3645</v>
      </c>
      <c r="I30" s="67">
        <f>F10*F11*F12</f>
        <v>25875</v>
      </c>
      <c r="J30" s="67">
        <f t="shared" si="0"/>
        <v>97890</v>
      </c>
      <c r="K30" s="250">
        <f t="shared" si="4"/>
        <v>97890</v>
      </c>
      <c r="L30" s="67">
        <f t="shared" si="1"/>
        <v>97890</v>
      </c>
      <c r="Q30" s="57"/>
    </row>
    <row r="31" spans="2:17" ht="15" customHeight="1">
      <c r="B31" s="57" t="s">
        <v>118</v>
      </c>
      <c r="C31" s="250">
        <f t="shared" si="2"/>
        <v>97890</v>
      </c>
      <c r="D31" s="57">
        <f t="shared" si="5"/>
        <v>9</v>
      </c>
      <c r="E31" s="64">
        <f>F7</f>
        <v>2250</v>
      </c>
      <c r="F31" s="57">
        <f>F8</f>
        <v>0.9</v>
      </c>
      <c r="G31" s="57">
        <f>F9</f>
        <v>0.9</v>
      </c>
      <c r="H31" s="67">
        <f t="shared" si="3"/>
        <v>16402.5</v>
      </c>
      <c r="I31" s="67">
        <f>F10*F11*F12</f>
        <v>25875</v>
      </c>
      <c r="J31" s="67">
        <f t="shared" si="0"/>
        <v>88417.5</v>
      </c>
      <c r="K31" s="250">
        <f t="shared" si="4"/>
        <v>88417.5</v>
      </c>
      <c r="L31" s="67">
        <f t="shared" si="1"/>
        <v>88417.5</v>
      </c>
      <c r="Q31" s="57"/>
    </row>
    <row r="32" spans="2:17">
      <c r="B32" s="57" t="s">
        <v>119</v>
      </c>
      <c r="C32" s="250">
        <f t="shared" si="2"/>
        <v>88417.5</v>
      </c>
      <c r="D32" s="57">
        <f t="shared" si="5"/>
        <v>34</v>
      </c>
      <c r="E32" s="64">
        <f>F7</f>
        <v>2250</v>
      </c>
      <c r="F32" s="57">
        <f>F8</f>
        <v>0.9</v>
      </c>
      <c r="G32" s="57">
        <f>F9</f>
        <v>0.9</v>
      </c>
      <c r="H32" s="67">
        <f t="shared" si="3"/>
        <v>61965</v>
      </c>
      <c r="I32" s="67">
        <f>F10*F11*F12</f>
        <v>25875</v>
      </c>
      <c r="J32" s="67">
        <f t="shared" si="0"/>
        <v>124507.5</v>
      </c>
      <c r="K32" s="250">
        <f t="shared" si="4"/>
        <v>124507.5</v>
      </c>
      <c r="L32" s="67">
        <f t="shared" si="1"/>
        <v>124507.5</v>
      </c>
      <c r="Q32" s="57"/>
    </row>
    <row r="33" spans="2:17">
      <c r="B33" s="57" t="s">
        <v>120</v>
      </c>
      <c r="C33" s="250">
        <f t="shared" si="2"/>
        <v>124507.5</v>
      </c>
      <c r="D33" s="57">
        <f t="shared" si="5"/>
        <v>276</v>
      </c>
      <c r="E33" s="64">
        <f>F7</f>
        <v>2250</v>
      </c>
      <c r="F33" s="57">
        <f>F8</f>
        <v>0.9</v>
      </c>
      <c r="G33" s="57">
        <f>F9</f>
        <v>0.9</v>
      </c>
      <c r="H33" s="67">
        <f t="shared" si="3"/>
        <v>503010</v>
      </c>
      <c r="I33" s="67">
        <f>F10*F11*F12</f>
        <v>25875</v>
      </c>
      <c r="J33" s="67">
        <f t="shared" si="0"/>
        <v>601642.5</v>
      </c>
      <c r="K33" s="250">
        <f t="shared" si="4"/>
        <v>601642.5</v>
      </c>
      <c r="L33" s="67">
        <f t="shared" si="1"/>
        <v>150000</v>
      </c>
      <c r="Q33" s="57"/>
    </row>
    <row r="34" spans="2:17">
      <c r="B34" s="57" t="s">
        <v>121</v>
      </c>
      <c r="C34" s="250">
        <f t="shared" si="2"/>
        <v>150000</v>
      </c>
      <c r="D34" s="57">
        <f t="shared" si="5"/>
        <v>332</v>
      </c>
      <c r="E34" s="64">
        <f>F7</f>
        <v>2250</v>
      </c>
      <c r="F34" s="57">
        <f>F8</f>
        <v>0.9</v>
      </c>
      <c r="G34" s="57">
        <f>F9</f>
        <v>0.9</v>
      </c>
      <c r="H34" s="67">
        <f t="shared" si="3"/>
        <v>605070</v>
      </c>
      <c r="I34" s="67">
        <f>F10*F11*F12</f>
        <v>25875</v>
      </c>
      <c r="J34" s="67">
        <f t="shared" si="0"/>
        <v>729195</v>
      </c>
      <c r="K34" s="250">
        <f t="shared" si="4"/>
        <v>729195</v>
      </c>
      <c r="L34" s="67">
        <f t="shared" si="1"/>
        <v>150000</v>
      </c>
      <c r="Q34" s="57"/>
    </row>
    <row r="35" spans="2:17">
      <c r="B35" s="57" t="s">
        <v>122</v>
      </c>
      <c r="C35" s="250">
        <f t="shared" si="2"/>
        <v>150000</v>
      </c>
      <c r="D35" s="57">
        <f t="shared" si="5"/>
        <v>179</v>
      </c>
      <c r="E35" s="64">
        <f>F7</f>
        <v>2250</v>
      </c>
      <c r="F35" s="57">
        <f>F8</f>
        <v>0.9</v>
      </c>
      <c r="G35" s="57">
        <f>F9</f>
        <v>0.9</v>
      </c>
      <c r="H35" s="67">
        <f t="shared" si="3"/>
        <v>326227.5</v>
      </c>
      <c r="I35" s="67">
        <f>F10*F11*F12</f>
        <v>25875</v>
      </c>
      <c r="J35" s="67">
        <f t="shared" si="0"/>
        <v>450352.5</v>
      </c>
      <c r="K35" s="250">
        <f t="shared" si="4"/>
        <v>450352.5</v>
      </c>
      <c r="L35" s="67">
        <f t="shared" si="1"/>
        <v>150000</v>
      </c>
      <c r="Q35" s="57"/>
    </row>
    <row r="36" spans="2:17">
      <c r="B36" s="57" t="s">
        <v>123</v>
      </c>
      <c r="C36" s="250">
        <f t="shared" si="2"/>
        <v>150000</v>
      </c>
      <c r="D36" s="57">
        <f t="shared" si="5"/>
        <v>234</v>
      </c>
      <c r="E36" s="64">
        <f>F7</f>
        <v>2250</v>
      </c>
      <c r="F36" s="57">
        <f>F8</f>
        <v>0.9</v>
      </c>
      <c r="G36" s="57">
        <f>F9</f>
        <v>0.9</v>
      </c>
      <c r="H36" s="67">
        <f t="shared" si="3"/>
        <v>426465</v>
      </c>
      <c r="I36" s="67">
        <f>F10*F11*F12</f>
        <v>25875</v>
      </c>
      <c r="J36" s="67">
        <f t="shared" si="0"/>
        <v>550590</v>
      </c>
      <c r="K36" s="250">
        <f t="shared" si="4"/>
        <v>550590</v>
      </c>
      <c r="L36" s="67">
        <f t="shared" si="1"/>
        <v>150000</v>
      </c>
      <c r="Q36" s="57"/>
    </row>
    <row r="37" spans="2:17">
      <c r="B37" s="57" t="s">
        <v>124</v>
      </c>
      <c r="C37" s="250">
        <f t="shared" si="2"/>
        <v>150000</v>
      </c>
      <c r="D37" s="57">
        <f t="shared" si="5"/>
        <v>412</v>
      </c>
      <c r="E37" s="64">
        <f>F7</f>
        <v>2250</v>
      </c>
      <c r="F37" s="57">
        <f>F8</f>
        <v>0.9</v>
      </c>
      <c r="G37" s="57">
        <f>F9</f>
        <v>0.9</v>
      </c>
      <c r="H37" s="67">
        <f t="shared" si="3"/>
        <v>750870</v>
      </c>
      <c r="I37" s="67">
        <f>F10*F11*F12</f>
        <v>25875</v>
      </c>
      <c r="J37" s="67">
        <f t="shared" si="0"/>
        <v>874995</v>
      </c>
      <c r="K37" s="250">
        <f t="shared" si="4"/>
        <v>874995</v>
      </c>
      <c r="L37" s="67">
        <f t="shared" si="1"/>
        <v>150000</v>
      </c>
      <c r="Q37" s="57"/>
    </row>
    <row r="38" spans="2:17">
      <c r="B38" s="57" t="s">
        <v>125</v>
      </c>
      <c r="C38" s="250">
        <f t="shared" si="2"/>
        <v>150000</v>
      </c>
      <c r="D38" s="57">
        <f t="shared" si="5"/>
        <v>306</v>
      </c>
      <c r="E38" s="64">
        <f>F7</f>
        <v>2250</v>
      </c>
      <c r="F38" s="57">
        <f>F8</f>
        <v>0.9</v>
      </c>
      <c r="G38" s="57">
        <f>F9</f>
        <v>0.9</v>
      </c>
      <c r="H38" s="67">
        <f t="shared" si="3"/>
        <v>557685</v>
      </c>
      <c r="I38" s="67">
        <f>F10*F11*F12</f>
        <v>25875</v>
      </c>
      <c r="J38" s="67">
        <f t="shared" si="0"/>
        <v>681810</v>
      </c>
      <c r="K38" s="250">
        <f t="shared" si="4"/>
        <v>681810</v>
      </c>
      <c r="L38" s="67">
        <f t="shared" si="1"/>
        <v>150000</v>
      </c>
      <c r="Q38" s="57"/>
    </row>
    <row r="39" spans="2:17">
      <c r="B39" s="57" t="s">
        <v>126</v>
      </c>
      <c r="C39" s="250">
        <f t="shared" si="2"/>
        <v>150000</v>
      </c>
      <c r="D39" s="57">
        <f t="shared" si="5"/>
        <v>59</v>
      </c>
      <c r="E39" s="64">
        <f>F7</f>
        <v>2250</v>
      </c>
      <c r="F39" s="57">
        <f>F8</f>
        <v>0.9</v>
      </c>
      <c r="G39" s="57">
        <f>F9</f>
        <v>0.9</v>
      </c>
      <c r="H39" s="67">
        <f t="shared" si="3"/>
        <v>107527.5</v>
      </c>
      <c r="I39" s="67">
        <f>F10*F11*F12</f>
        <v>25875</v>
      </c>
      <c r="J39" s="67">
        <f t="shared" si="0"/>
        <v>231652.5</v>
      </c>
      <c r="K39" s="250">
        <f t="shared" si="4"/>
        <v>231652.5</v>
      </c>
      <c r="L39" s="67">
        <f t="shared" si="1"/>
        <v>150000</v>
      </c>
      <c r="Q39" s="57"/>
    </row>
    <row r="40" spans="2:17">
      <c r="B40" s="14" t="s">
        <v>127</v>
      </c>
      <c r="C40" s="251">
        <f t="shared" si="2"/>
        <v>150000</v>
      </c>
      <c r="D40" s="14">
        <f t="shared" si="5"/>
        <v>11</v>
      </c>
      <c r="E40" s="117">
        <f>F7</f>
        <v>2250</v>
      </c>
      <c r="F40" s="14">
        <f>F8</f>
        <v>0.9</v>
      </c>
      <c r="G40" s="14">
        <f>F9</f>
        <v>0.9</v>
      </c>
      <c r="H40" s="137">
        <f t="shared" si="3"/>
        <v>20047.5</v>
      </c>
      <c r="I40" s="137">
        <f>F10*F11*F12</f>
        <v>25875</v>
      </c>
      <c r="J40" s="137">
        <f t="shared" si="0"/>
        <v>144172.5</v>
      </c>
      <c r="K40" s="251">
        <f t="shared" si="4"/>
        <v>144172.5</v>
      </c>
      <c r="L40" s="137">
        <f t="shared" si="1"/>
        <v>144172.5</v>
      </c>
      <c r="Q40" s="57"/>
    </row>
    <row r="41" spans="2:17">
      <c r="B41" s="57" t="s">
        <v>116</v>
      </c>
      <c r="C41" s="250">
        <f t="shared" si="2"/>
        <v>144172.5</v>
      </c>
      <c r="D41" s="57">
        <f t="shared" ref="D41:D52" si="6">D17</f>
        <v>1</v>
      </c>
      <c r="E41" s="64">
        <f>F7</f>
        <v>2250</v>
      </c>
      <c r="F41" s="57">
        <f>F8</f>
        <v>0.9</v>
      </c>
      <c r="G41" s="57">
        <f>F9</f>
        <v>0.9</v>
      </c>
      <c r="H41" s="67">
        <f t="shared" si="3"/>
        <v>1822.5</v>
      </c>
      <c r="I41" s="67">
        <f>F10*F11*F12</f>
        <v>25875</v>
      </c>
      <c r="J41" s="67">
        <f t="shared" si="0"/>
        <v>120120</v>
      </c>
      <c r="K41" s="250">
        <f t="shared" si="4"/>
        <v>120120</v>
      </c>
      <c r="L41" s="67">
        <f t="shared" si="1"/>
        <v>120120</v>
      </c>
      <c r="Q41" s="57"/>
    </row>
    <row r="42" spans="2:17">
      <c r="B42" s="57" t="s">
        <v>117</v>
      </c>
      <c r="C42" s="250">
        <f t="shared" si="2"/>
        <v>120120</v>
      </c>
      <c r="D42" s="57">
        <f t="shared" si="6"/>
        <v>2</v>
      </c>
      <c r="E42" s="64">
        <f>F7</f>
        <v>2250</v>
      </c>
      <c r="F42" s="57">
        <f>F8</f>
        <v>0.9</v>
      </c>
      <c r="G42" s="57">
        <f>F9</f>
        <v>0.9</v>
      </c>
      <c r="H42" s="67">
        <f t="shared" si="3"/>
        <v>3645</v>
      </c>
      <c r="I42" s="67">
        <f>F10*F11*F12</f>
        <v>25875</v>
      </c>
      <c r="J42" s="67">
        <f t="shared" si="0"/>
        <v>97890</v>
      </c>
      <c r="K42" s="250">
        <f t="shared" si="4"/>
        <v>97890</v>
      </c>
      <c r="L42" s="67">
        <f t="shared" si="1"/>
        <v>97890</v>
      </c>
      <c r="Q42" s="57"/>
    </row>
    <row r="43" spans="2:17">
      <c r="B43" s="57" t="s">
        <v>118</v>
      </c>
      <c r="C43" s="250">
        <f t="shared" si="2"/>
        <v>97890</v>
      </c>
      <c r="D43" s="57">
        <f t="shared" si="6"/>
        <v>9</v>
      </c>
      <c r="E43" s="64">
        <f>F7</f>
        <v>2250</v>
      </c>
      <c r="F43" s="57">
        <f>F8</f>
        <v>0.9</v>
      </c>
      <c r="G43" s="57">
        <f>F9</f>
        <v>0.9</v>
      </c>
      <c r="H43" s="67">
        <f t="shared" si="3"/>
        <v>16402.5</v>
      </c>
      <c r="I43" s="67">
        <f>F10*F11*F12</f>
        <v>25875</v>
      </c>
      <c r="J43" s="67">
        <f t="shared" si="0"/>
        <v>88417.5</v>
      </c>
      <c r="K43" s="250">
        <f t="shared" si="4"/>
        <v>88417.5</v>
      </c>
      <c r="L43" s="67">
        <f t="shared" si="1"/>
        <v>88417.5</v>
      </c>
      <c r="Q43" s="57"/>
    </row>
    <row r="44" spans="2:17">
      <c r="B44" s="57" t="s">
        <v>119</v>
      </c>
      <c r="C44" s="250">
        <f t="shared" si="2"/>
        <v>88417.5</v>
      </c>
      <c r="D44" s="57">
        <f t="shared" si="6"/>
        <v>34</v>
      </c>
      <c r="E44" s="64">
        <f>F7</f>
        <v>2250</v>
      </c>
      <c r="F44" s="57">
        <f>F8</f>
        <v>0.9</v>
      </c>
      <c r="G44" s="57">
        <f>F9</f>
        <v>0.9</v>
      </c>
      <c r="H44" s="67">
        <f t="shared" si="3"/>
        <v>61965</v>
      </c>
      <c r="I44" s="67">
        <f>F10*F11*F12</f>
        <v>25875</v>
      </c>
      <c r="J44" s="67">
        <f t="shared" si="0"/>
        <v>124507.5</v>
      </c>
      <c r="K44" s="250">
        <f t="shared" si="4"/>
        <v>124507.5</v>
      </c>
      <c r="L44" s="67">
        <f t="shared" si="1"/>
        <v>124507.5</v>
      </c>
      <c r="Q44" s="57"/>
    </row>
    <row r="45" spans="2:17">
      <c r="B45" s="57" t="s">
        <v>120</v>
      </c>
      <c r="C45" s="250">
        <f t="shared" si="2"/>
        <v>124507.5</v>
      </c>
      <c r="D45" s="57">
        <f t="shared" si="6"/>
        <v>276</v>
      </c>
      <c r="E45" s="64">
        <f>F7</f>
        <v>2250</v>
      </c>
      <c r="F45" s="57">
        <f>F8</f>
        <v>0.9</v>
      </c>
      <c r="G45" s="57">
        <f>F9</f>
        <v>0.9</v>
      </c>
      <c r="H45" s="67">
        <f t="shared" si="3"/>
        <v>503010</v>
      </c>
      <c r="I45" s="67">
        <f>F10*F11*F12</f>
        <v>25875</v>
      </c>
      <c r="J45" s="67">
        <f t="shared" si="0"/>
        <v>601642.5</v>
      </c>
      <c r="K45" s="250">
        <f t="shared" si="4"/>
        <v>601642.5</v>
      </c>
      <c r="L45" s="67">
        <f t="shared" si="1"/>
        <v>150000</v>
      </c>
      <c r="Q45" s="57"/>
    </row>
    <row r="46" spans="2:17">
      <c r="B46" s="57" t="s">
        <v>121</v>
      </c>
      <c r="C46" s="250">
        <f t="shared" si="2"/>
        <v>150000</v>
      </c>
      <c r="D46" s="57">
        <f t="shared" si="6"/>
        <v>332</v>
      </c>
      <c r="E46" s="64">
        <f>F7</f>
        <v>2250</v>
      </c>
      <c r="F46" s="57">
        <f>F8</f>
        <v>0.9</v>
      </c>
      <c r="G46" s="57">
        <f>F9</f>
        <v>0.9</v>
      </c>
      <c r="H46" s="67">
        <f t="shared" si="3"/>
        <v>605070</v>
      </c>
      <c r="I46" s="67">
        <f>F10*F11*F12</f>
        <v>25875</v>
      </c>
      <c r="J46" s="67">
        <f t="shared" si="0"/>
        <v>729195</v>
      </c>
      <c r="K46" s="250">
        <f t="shared" si="4"/>
        <v>729195</v>
      </c>
      <c r="L46" s="67">
        <f t="shared" si="1"/>
        <v>150000</v>
      </c>
      <c r="Q46" s="57"/>
    </row>
    <row r="47" spans="2:17">
      <c r="B47" s="57" t="s">
        <v>122</v>
      </c>
      <c r="C47" s="250">
        <f t="shared" si="2"/>
        <v>150000</v>
      </c>
      <c r="D47" s="57">
        <f t="shared" si="6"/>
        <v>179</v>
      </c>
      <c r="E47" s="64">
        <f>F7</f>
        <v>2250</v>
      </c>
      <c r="F47" s="57">
        <f>F8</f>
        <v>0.9</v>
      </c>
      <c r="G47" s="57">
        <f>F9</f>
        <v>0.9</v>
      </c>
      <c r="H47" s="67">
        <f t="shared" si="3"/>
        <v>326227.5</v>
      </c>
      <c r="I47" s="67">
        <f>F10*F11*F12</f>
        <v>25875</v>
      </c>
      <c r="J47" s="67">
        <f t="shared" si="0"/>
        <v>450352.5</v>
      </c>
      <c r="K47" s="250">
        <f t="shared" si="4"/>
        <v>450352.5</v>
      </c>
      <c r="L47" s="67">
        <f t="shared" si="1"/>
        <v>150000</v>
      </c>
      <c r="Q47" s="57"/>
    </row>
    <row r="48" spans="2:17">
      <c r="B48" s="57" t="s">
        <v>123</v>
      </c>
      <c r="C48" s="250">
        <f t="shared" si="2"/>
        <v>150000</v>
      </c>
      <c r="D48" s="57">
        <f t="shared" si="6"/>
        <v>234</v>
      </c>
      <c r="E48" s="64">
        <f>F7</f>
        <v>2250</v>
      </c>
      <c r="F48" s="57">
        <f>F8</f>
        <v>0.9</v>
      </c>
      <c r="G48" s="57">
        <f>F9</f>
        <v>0.9</v>
      </c>
      <c r="H48" s="67">
        <f t="shared" si="3"/>
        <v>426465</v>
      </c>
      <c r="I48" s="67">
        <f>F10*F11*F12</f>
        <v>25875</v>
      </c>
      <c r="J48" s="67">
        <f t="shared" si="0"/>
        <v>550590</v>
      </c>
      <c r="K48" s="250">
        <f t="shared" si="4"/>
        <v>550590</v>
      </c>
      <c r="L48" s="67">
        <f t="shared" si="1"/>
        <v>150000</v>
      </c>
      <c r="Q48" s="57"/>
    </row>
    <row r="49" spans="2:17">
      <c r="B49" s="57" t="s">
        <v>124</v>
      </c>
      <c r="C49" s="250">
        <f t="shared" si="2"/>
        <v>150000</v>
      </c>
      <c r="D49" s="57">
        <f t="shared" si="6"/>
        <v>412</v>
      </c>
      <c r="E49" s="64">
        <f>F7</f>
        <v>2250</v>
      </c>
      <c r="F49" s="57">
        <f>F8</f>
        <v>0.9</v>
      </c>
      <c r="G49" s="57">
        <f>F9</f>
        <v>0.9</v>
      </c>
      <c r="H49" s="67">
        <f t="shared" si="3"/>
        <v>750870</v>
      </c>
      <c r="I49" s="67">
        <f>F10*F11*F12</f>
        <v>25875</v>
      </c>
      <c r="J49" s="67">
        <f t="shared" si="0"/>
        <v>874995</v>
      </c>
      <c r="K49" s="250">
        <f t="shared" si="4"/>
        <v>874995</v>
      </c>
      <c r="L49" s="67">
        <f t="shared" si="1"/>
        <v>150000</v>
      </c>
      <c r="Q49" s="57"/>
    </row>
    <row r="50" spans="2:17">
      <c r="B50" s="57" t="s">
        <v>125</v>
      </c>
      <c r="C50" s="250">
        <f t="shared" si="2"/>
        <v>150000</v>
      </c>
      <c r="D50" s="57">
        <f t="shared" si="6"/>
        <v>306</v>
      </c>
      <c r="E50" s="64">
        <f>F7</f>
        <v>2250</v>
      </c>
      <c r="F50" s="57">
        <f>F8</f>
        <v>0.9</v>
      </c>
      <c r="G50" s="57">
        <f>F9</f>
        <v>0.9</v>
      </c>
      <c r="H50" s="67">
        <f t="shared" si="3"/>
        <v>557685</v>
      </c>
      <c r="I50" s="67">
        <f>F10*F11*F12</f>
        <v>25875</v>
      </c>
      <c r="J50" s="67">
        <f t="shared" si="0"/>
        <v>681810</v>
      </c>
      <c r="K50" s="250">
        <f t="shared" si="4"/>
        <v>681810</v>
      </c>
      <c r="L50" s="67">
        <f t="shared" si="1"/>
        <v>150000</v>
      </c>
      <c r="Q50" s="57"/>
    </row>
    <row r="51" spans="2:17">
      <c r="B51" s="57" t="s">
        <v>126</v>
      </c>
      <c r="C51" s="250">
        <f t="shared" si="2"/>
        <v>150000</v>
      </c>
      <c r="D51" s="57">
        <f t="shared" si="6"/>
        <v>59</v>
      </c>
      <c r="E51" s="64">
        <f>F7</f>
        <v>2250</v>
      </c>
      <c r="F51" s="57">
        <f>F8</f>
        <v>0.9</v>
      </c>
      <c r="G51" s="57">
        <f>F9</f>
        <v>0.9</v>
      </c>
      <c r="H51" s="67">
        <f t="shared" si="3"/>
        <v>107527.5</v>
      </c>
      <c r="I51" s="67">
        <f>F10*F11*F12</f>
        <v>25875</v>
      </c>
      <c r="J51" s="67">
        <f t="shared" si="0"/>
        <v>231652.5</v>
      </c>
      <c r="K51" s="250">
        <f t="shared" si="4"/>
        <v>231652.5</v>
      </c>
      <c r="L51" s="67">
        <f t="shared" si="1"/>
        <v>150000</v>
      </c>
      <c r="Q51" s="57"/>
    </row>
    <row r="52" spans="2:17">
      <c r="B52" s="14" t="s">
        <v>127</v>
      </c>
      <c r="C52" s="251">
        <f t="shared" si="2"/>
        <v>150000</v>
      </c>
      <c r="D52" s="14">
        <f t="shared" si="6"/>
        <v>11</v>
      </c>
      <c r="E52" s="117">
        <f>F7</f>
        <v>2250</v>
      </c>
      <c r="F52" s="14">
        <f>F8</f>
        <v>0.9</v>
      </c>
      <c r="G52" s="14">
        <f>F9</f>
        <v>0.9</v>
      </c>
      <c r="H52" s="137">
        <f t="shared" si="3"/>
        <v>20047.5</v>
      </c>
      <c r="I52" s="137">
        <f>F10*F11*F12</f>
        <v>25875</v>
      </c>
      <c r="J52" s="137">
        <f t="shared" si="0"/>
        <v>144172.5</v>
      </c>
      <c r="K52" s="251">
        <f t="shared" si="4"/>
        <v>144172.5</v>
      </c>
      <c r="L52" s="137">
        <f t="shared" si="1"/>
        <v>144172.5</v>
      </c>
      <c r="Q52" s="57"/>
    </row>
    <row r="53" spans="2:17">
      <c r="B53" s="57" t="s">
        <v>116</v>
      </c>
      <c r="C53" s="250">
        <f t="shared" si="2"/>
        <v>144172.5</v>
      </c>
      <c r="D53" s="57">
        <f t="shared" ref="D53:D64" si="7">D17</f>
        <v>1</v>
      </c>
      <c r="E53" s="64">
        <f>F7</f>
        <v>2250</v>
      </c>
      <c r="F53" s="57">
        <f>F8</f>
        <v>0.9</v>
      </c>
      <c r="G53" s="57">
        <f>F9</f>
        <v>0.9</v>
      </c>
      <c r="H53" s="67">
        <f t="shared" si="3"/>
        <v>1822.5</v>
      </c>
      <c r="I53" s="67">
        <f>F10*F11*F12</f>
        <v>25875</v>
      </c>
      <c r="J53" s="67">
        <f t="shared" si="0"/>
        <v>120120</v>
      </c>
      <c r="K53" s="250">
        <f t="shared" si="4"/>
        <v>120120</v>
      </c>
      <c r="L53" s="67">
        <f t="shared" si="1"/>
        <v>120120</v>
      </c>
      <c r="Q53" s="57"/>
    </row>
    <row r="54" spans="2:17">
      <c r="B54" s="57" t="s">
        <v>117</v>
      </c>
      <c r="C54" s="250">
        <f t="shared" si="2"/>
        <v>120120</v>
      </c>
      <c r="D54" s="57">
        <f t="shared" si="7"/>
        <v>2</v>
      </c>
      <c r="E54" s="64">
        <f>F7</f>
        <v>2250</v>
      </c>
      <c r="F54" s="57">
        <f>F8</f>
        <v>0.9</v>
      </c>
      <c r="G54" s="57">
        <f>F9</f>
        <v>0.9</v>
      </c>
      <c r="H54" s="67">
        <f t="shared" si="3"/>
        <v>3645</v>
      </c>
      <c r="I54" s="67">
        <f>F10*F11*F12</f>
        <v>25875</v>
      </c>
      <c r="J54" s="67">
        <f t="shared" si="0"/>
        <v>97890</v>
      </c>
      <c r="K54" s="250">
        <f t="shared" si="4"/>
        <v>97890</v>
      </c>
      <c r="L54" s="67">
        <f t="shared" si="1"/>
        <v>97890</v>
      </c>
      <c r="Q54" s="57"/>
    </row>
    <row r="55" spans="2:17">
      <c r="B55" s="57" t="s">
        <v>118</v>
      </c>
      <c r="C55" s="250">
        <f t="shared" si="2"/>
        <v>97890</v>
      </c>
      <c r="D55" s="57">
        <f t="shared" si="7"/>
        <v>9</v>
      </c>
      <c r="E55" s="64">
        <f>F7</f>
        <v>2250</v>
      </c>
      <c r="F55" s="57">
        <f>F8</f>
        <v>0.9</v>
      </c>
      <c r="G55" s="57">
        <f>F9</f>
        <v>0.9</v>
      </c>
      <c r="H55" s="67">
        <f t="shared" si="3"/>
        <v>16402.5</v>
      </c>
      <c r="I55" s="67">
        <f>F10*F11*F12</f>
        <v>25875</v>
      </c>
      <c r="J55" s="67">
        <f t="shared" si="0"/>
        <v>88417.5</v>
      </c>
      <c r="K55" s="250">
        <f t="shared" si="4"/>
        <v>88417.5</v>
      </c>
      <c r="L55" s="67">
        <f t="shared" si="1"/>
        <v>88417.5</v>
      </c>
      <c r="Q55" s="57"/>
    </row>
    <row r="56" spans="2:17">
      <c r="B56" s="57" t="s">
        <v>119</v>
      </c>
      <c r="C56" s="250">
        <f t="shared" si="2"/>
        <v>88417.5</v>
      </c>
      <c r="D56" s="57">
        <f t="shared" si="7"/>
        <v>34</v>
      </c>
      <c r="E56" s="64">
        <f>F7</f>
        <v>2250</v>
      </c>
      <c r="F56" s="57">
        <f>F8</f>
        <v>0.9</v>
      </c>
      <c r="G56" s="57">
        <f>F9</f>
        <v>0.9</v>
      </c>
      <c r="H56" s="67">
        <f t="shared" si="3"/>
        <v>61965</v>
      </c>
      <c r="I56" s="67">
        <f>F10*F11*F12</f>
        <v>25875</v>
      </c>
      <c r="J56" s="67">
        <f t="shared" si="0"/>
        <v>124507.5</v>
      </c>
      <c r="K56" s="250">
        <f t="shared" si="4"/>
        <v>124507.5</v>
      </c>
      <c r="L56" s="67">
        <f t="shared" si="1"/>
        <v>124507.5</v>
      </c>
      <c r="Q56" s="57"/>
    </row>
    <row r="57" spans="2:17">
      <c r="B57" s="57" t="s">
        <v>120</v>
      </c>
      <c r="C57" s="250">
        <f t="shared" si="2"/>
        <v>124507.5</v>
      </c>
      <c r="D57" s="57">
        <f t="shared" si="7"/>
        <v>276</v>
      </c>
      <c r="E57" s="64">
        <f>F7</f>
        <v>2250</v>
      </c>
      <c r="F57" s="57">
        <f>F8</f>
        <v>0.9</v>
      </c>
      <c r="G57" s="57">
        <f>F9</f>
        <v>0.9</v>
      </c>
      <c r="H57" s="67">
        <f t="shared" si="3"/>
        <v>503010</v>
      </c>
      <c r="I57" s="67">
        <f>F10*F11*F12</f>
        <v>25875</v>
      </c>
      <c r="J57" s="67">
        <f t="shared" si="0"/>
        <v>601642.5</v>
      </c>
      <c r="K57" s="250">
        <f t="shared" si="4"/>
        <v>601642.5</v>
      </c>
      <c r="L57" s="67">
        <f t="shared" si="1"/>
        <v>150000</v>
      </c>
      <c r="Q57" s="57"/>
    </row>
    <row r="58" spans="2:17">
      <c r="B58" s="57" t="s">
        <v>121</v>
      </c>
      <c r="C58" s="250">
        <f t="shared" si="2"/>
        <v>150000</v>
      </c>
      <c r="D58" s="57">
        <f t="shared" si="7"/>
        <v>332</v>
      </c>
      <c r="E58" s="64">
        <f>F7</f>
        <v>2250</v>
      </c>
      <c r="F58" s="57">
        <f>F8</f>
        <v>0.9</v>
      </c>
      <c r="G58" s="57">
        <f>F9</f>
        <v>0.9</v>
      </c>
      <c r="H58" s="67">
        <f t="shared" si="3"/>
        <v>605070</v>
      </c>
      <c r="I58" s="67">
        <f>F10*F11*F12</f>
        <v>25875</v>
      </c>
      <c r="J58" s="67">
        <f t="shared" si="0"/>
        <v>729195</v>
      </c>
      <c r="K58" s="250">
        <f t="shared" si="4"/>
        <v>729195</v>
      </c>
      <c r="L58" s="67">
        <f t="shared" si="1"/>
        <v>150000</v>
      </c>
      <c r="Q58" s="57"/>
    </row>
    <row r="59" spans="2:17">
      <c r="B59" s="57" t="s">
        <v>122</v>
      </c>
      <c r="C59" s="250">
        <f t="shared" si="2"/>
        <v>150000</v>
      </c>
      <c r="D59" s="57">
        <f t="shared" si="7"/>
        <v>179</v>
      </c>
      <c r="E59" s="64">
        <f>F7</f>
        <v>2250</v>
      </c>
      <c r="F59" s="57">
        <f>F8</f>
        <v>0.9</v>
      </c>
      <c r="G59" s="57">
        <f>F9</f>
        <v>0.9</v>
      </c>
      <c r="H59" s="67">
        <f t="shared" si="3"/>
        <v>326227.5</v>
      </c>
      <c r="I59" s="67">
        <f>F10*F11*F12</f>
        <v>25875</v>
      </c>
      <c r="J59" s="67">
        <f t="shared" si="0"/>
        <v>450352.5</v>
      </c>
      <c r="K59" s="250">
        <f t="shared" si="4"/>
        <v>450352.5</v>
      </c>
      <c r="L59" s="67">
        <f t="shared" si="1"/>
        <v>150000</v>
      </c>
      <c r="Q59" s="57"/>
    </row>
    <row r="60" spans="2:17">
      <c r="B60" s="57" t="s">
        <v>123</v>
      </c>
      <c r="C60" s="250">
        <f t="shared" si="2"/>
        <v>150000</v>
      </c>
      <c r="D60" s="57">
        <f t="shared" si="7"/>
        <v>234</v>
      </c>
      <c r="E60" s="64">
        <f>F7</f>
        <v>2250</v>
      </c>
      <c r="F60" s="57">
        <f>F8</f>
        <v>0.9</v>
      </c>
      <c r="G60" s="57">
        <f>F9</f>
        <v>0.9</v>
      </c>
      <c r="H60" s="67">
        <f t="shared" si="3"/>
        <v>426465</v>
      </c>
      <c r="I60" s="67">
        <f>F10*F11*F12</f>
        <v>25875</v>
      </c>
      <c r="J60" s="67">
        <f t="shared" si="0"/>
        <v>550590</v>
      </c>
      <c r="K60" s="250">
        <f t="shared" si="4"/>
        <v>550590</v>
      </c>
      <c r="L60" s="67">
        <f t="shared" si="1"/>
        <v>150000</v>
      </c>
      <c r="Q60" s="57"/>
    </row>
    <row r="61" spans="2:17">
      <c r="B61" s="57" t="s">
        <v>124</v>
      </c>
      <c r="C61" s="250">
        <f t="shared" si="2"/>
        <v>150000</v>
      </c>
      <c r="D61" s="57">
        <f t="shared" si="7"/>
        <v>412</v>
      </c>
      <c r="E61" s="64">
        <f>F7</f>
        <v>2250</v>
      </c>
      <c r="F61" s="57">
        <f>F8</f>
        <v>0.9</v>
      </c>
      <c r="G61" s="57">
        <f>F9</f>
        <v>0.9</v>
      </c>
      <c r="H61" s="67">
        <f t="shared" si="3"/>
        <v>750870</v>
      </c>
      <c r="I61" s="67">
        <f>F10*F11*F12</f>
        <v>25875</v>
      </c>
      <c r="J61" s="67">
        <f t="shared" si="0"/>
        <v>874995</v>
      </c>
      <c r="K61" s="250">
        <f t="shared" si="4"/>
        <v>874995</v>
      </c>
      <c r="L61" s="67">
        <f t="shared" si="1"/>
        <v>150000</v>
      </c>
      <c r="Q61" s="57"/>
    </row>
    <row r="62" spans="2:17">
      <c r="B62" s="57" t="s">
        <v>125</v>
      </c>
      <c r="C62" s="250">
        <f t="shared" si="2"/>
        <v>150000</v>
      </c>
      <c r="D62" s="57">
        <f t="shared" si="7"/>
        <v>306</v>
      </c>
      <c r="E62" s="64">
        <f>F7</f>
        <v>2250</v>
      </c>
      <c r="F62" s="57">
        <f>F8</f>
        <v>0.9</v>
      </c>
      <c r="G62" s="57">
        <f>F9</f>
        <v>0.9</v>
      </c>
      <c r="H62" s="67">
        <f t="shared" si="3"/>
        <v>557685</v>
      </c>
      <c r="I62" s="67">
        <f>F10*F11*F12</f>
        <v>25875</v>
      </c>
      <c r="J62" s="67">
        <f t="shared" si="0"/>
        <v>681810</v>
      </c>
      <c r="K62" s="250">
        <f t="shared" si="4"/>
        <v>681810</v>
      </c>
      <c r="L62" s="67">
        <f t="shared" si="1"/>
        <v>150000</v>
      </c>
      <c r="Q62" s="57"/>
    </row>
    <row r="63" spans="2:17">
      <c r="B63" s="57" t="s">
        <v>126</v>
      </c>
      <c r="C63" s="250">
        <f t="shared" si="2"/>
        <v>150000</v>
      </c>
      <c r="D63" s="57">
        <f t="shared" si="7"/>
        <v>59</v>
      </c>
      <c r="E63" s="64">
        <f>F7</f>
        <v>2250</v>
      </c>
      <c r="F63" s="57">
        <f>F8</f>
        <v>0.9</v>
      </c>
      <c r="G63" s="57">
        <f>F9</f>
        <v>0.9</v>
      </c>
      <c r="H63" s="67">
        <f t="shared" si="3"/>
        <v>107527.5</v>
      </c>
      <c r="I63" s="67">
        <f>F10*F11*F12</f>
        <v>25875</v>
      </c>
      <c r="J63" s="67">
        <f t="shared" si="0"/>
        <v>231652.5</v>
      </c>
      <c r="K63" s="250">
        <f t="shared" si="4"/>
        <v>231652.5</v>
      </c>
      <c r="L63" s="67">
        <f t="shared" si="1"/>
        <v>150000</v>
      </c>
      <c r="Q63" s="57"/>
    </row>
    <row r="64" spans="2:17">
      <c r="B64" s="57" t="s">
        <v>127</v>
      </c>
      <c r="C64" s="250">
        <f t="shared" si="2"/>
        <v>150000</v>
      </c>
      <c r="D64" s="57">
        <f t="shared" si="7"/>
        <v>11</v>
      </c>
      <c r="E64" s="64">
        <f>F7</f>
        <v>2250</v>
      </c>
      <c r="F64" s="57">
        <f>F8</f>
        <v>0.9</v>
      </c>
      <c r="G64" s="57">
        <f>F9</f>
        <v>0.9</v>
      </c>
      <c r="H64" s="67">
        <f t="shared" si="3"/>
        <v>20047.5</v>
      </c>
      <c r="I64" s="67">
        <f>F10*F11*F12</f>
        <v>25875</v>
      </c>
      <c r="J64" s="67">
        <f t="shared" si="0"/>
        <v>144172.5</v>
      </c>
      <c r="K64" s="250">
        <f t="shared" si="4"/>
        <v>144172.5</v>
      </c>
      <c r="L64" s="67">
        <f t="shared" si="1"/>
        <v>144172.5</v>
      </c>
      <c r="Q64" s="57"/>
    </row>
    <row r="65" spans="2:17">
      <c r="B65" s="57"/>
      <c r="C65" s="57"/>
      <c r="D65" s="57"/>
      <c r="E65" s="57"/>
      <c r="F65" s="57"/>
      <c r="G65" s="57"/>
      <c r="H65" s="67">
        <f>SUM(H53:H64)</f>
        <v>3380737.5</v>
      </c>
      <c r="I65" s="81"/>
      <c r="J65" s="57"/>
      <c r="K65" s="57"/>
      <c r="L65" s="57"/>
      <c r="M65" s="57"/>
      <c r="N65" s="57"/>
      <c r="O65" s="57"/>
      <c r="P65" s="57"/>
      <c r="Q65" s="57"/>
    </row>
    <row r="66" spans="2:17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7"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7"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7"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7"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7"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7"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7"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7"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7"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7"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7"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7"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7"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3:15"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3:15"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3:15"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3:15"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3:15"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3:15"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3:15"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3:15"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3:15"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3:15"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3:15"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3:15"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3:15"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3:15"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3:15"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3:15"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3:15"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3:15"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3:15"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3:15"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3:15"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3:15"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3:15"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3:15"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3:15"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3:15"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3:15"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3:15"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3:15"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3:15"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3:15"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</row>
    <row r="112" spans="3:15"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</row>
    <row r="113" spans="3:15"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</row>
    <row r="114" spans="3:15"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</row>
    <row r="115" spans="3:15"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</row>
    <row r="116" spans="3:15"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</row>
    <row r="117" spans="3:15"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</row>
    <row r="118" spans="3:15"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</row>
    <row r="119" spans="3:15"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</row>
    <row r="120" spans="3:15"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</row>
    <row r="121" spans="3:15"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</row>
    <row r="122" spans="3:15"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</row>
    <row r="123" spans="3:15"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</row>
    <row r="124" spans="3:15"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</row>
    <row r="125" spans="3:15"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</row>
    <row r="126" spans="3:15"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</row>
    <row r="127" spans="3:15"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</row>
    <row r="128" spans="3:15"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</row>
    <row r="129" spans="3:15"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</row>
    <row r="130" spans="3:15"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</row>
    <row r="131" spans="3:15"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</row>
    <row r="132" spans="3:15"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</row>
    <row r="133" spans="3:15"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</row>
    <row r="134" spans="3:15"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</row>
    <row r="135" spans="3:15"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</row>
    <row r="136" spans="3:15"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</row>
    <row r="137" spans="3:15"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</row>
    <row r="138" spans="3:15"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</row>
    <row r="139" spans="3:15"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</row>
    <row r="140" spans="3:15"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</row>
    <row r="141" spans="3:15"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</row>
    <row r="142" spans="3:15"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</row>
    <row r="143" spans="3:15"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</row>
    <row r="144" spans="3:15"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</row>
    <row r="145" spans="3:15"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</row>
    <row r="146" spans="3:15"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</row>
    <row r="147" spans="3:15"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</row>
    <row r="148" spans="3:15"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</row>
    <row r="149" spans="3:15"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</row>
    <row r="150" spans="3:15"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</row>
    <row r="151" spans="3:15"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</row>
    <row r="152" spans="3:15"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</row>
    <row r="153" spans="3:15"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</row>
    <row r="154" spans="3:15"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</row>
    <row r="155" spans="3:15"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</row>
    <row r="156" spans="3:15"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</row>
    <row r="157" spans="3:15"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</row>
    <row r="158" spans="3:15"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</row>
    <row r="159" spans="3:15"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</row>
    <row r="160" spans="3:15"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</row>
    <row r="161" spans="3:15"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</row>
    <row r="162" spans="3:15"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</row>
    <row r="163" spans="3:15"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</row>
    <row r="164" spans="3:15"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</row>
    <row r="165" spans="3:15"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</row>
    <row r="166" spans="3:15"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</row>
  </sheetData>
  <conditionalFormatting sqref="J17:J64">
    <cfRule type="cellIs" dxfId="5" priority="2" operator="lessThanOrEqual">
      <formula>0</formula>
    </cfRule>
    <cfRule type="cellIs" dxfId="4" priority="3" operator="lessThanOrEqual">
      <formula>$F$13*0.1</formula>
    </cfRule>
  </conditionalFormatting>
  <conditionalFormatting sqref="L17:L64">
    <cfRule type="cellIs" dxfId="3" priority="1" operator="greaterThanOrEqual">
      <formula>$F$13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'Hidden input'!$A$14:$A$15</xm:f>
          </x14:formula1>
          <xm:sqref>C6</xm:sqref>
        </x14:dataValidation>
        <x14:dataValidation type="list" allowBlank="1" showInputMessage="1" showErrorMessage="1">
          <x14:formula1>
            <xm:f>'Hidden input'!$B$5:$B$6</xm:f>
          </x14:formula1>
          <xm:sqref>C5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/>
  <dimension ref="B1:Q166"/>
  <sheetViews>
    <sheetView zoomScale="80" zoomScaleNormal="80" zoomScalePageLayoutView="80" workbookViewId="0">
      <selection activeCell="Q22" sqref="Q22"/>
    </sheetView>
  </sheetViews>
  <sheetFormatPr baseColWidth="10" defaultColWidth="8.83203125" defaultRowHeight="14" x14ac:dyDescent="0"/>
  <cols>
    <col min="1" max="1" width="2.83203125" style="81" customWidth="1"/>
    <col min="2" max="2" width="20" style="81" customWidth="1"/>
    <col min="3" max="3" width="10.83203125" style="3" customWidth="1"/>
    <col min="4" max="4" width="13.5" style="3" customWidth="1"/>
    <col min="5" max="5" width="20.1640625" style="3" customWidth="1"/>
    <col min="6" max="6" width="14.5" style="3" customWidth="1"/>
    <col min="7" max="7" width="11.1640625" style="3" customWidth="1"/>
    <col min="8" max="8" width="12.33203125" style="3" customWidth="1"/>
    <col min="9" max="9" width="8.83203125" style="3" bestFit="1" customWidth="1"/>
    <col min="10" max="10" width="12.6640625" style="3" customWidth="1"/>
    <col min="11" max="11" width="10.6640625" style="3" bestFit="1" customWidth="1"/>
    <col min="12" max="12" width="11.5" style="3" customWidth="1"/>
    <col min="13" max="13" width="14.6640625" style="3" customWidth="1"/>
    <col min="14" max="14" width="19" style="3" customWidth="1"/>
    <col min="15" max="15" width="20" style="3" customWidth="1"/>
    <col min="16" max="16" width="18.5" style="81" customWidth="1"/>
    <col min="17" max="16384" width="8.83203125" style="81"/>
  </cols>
  <sheetData>
    <row r="1" spans="2:17"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17" ht="18">
      <c r="B2" s="49" t="s">
        <v>185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2:17">
      <c r="B3" s="57" t="s">
        <v>170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2:17"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2:17">
      <c r="B5" s="188" t="s">
        <v>294</v>
      </c>
      <c r="C5" s="17" t="s">
        <v>96</v>
      </c>
      <c r="D5" s="81"/>
      <c r="E5" s="127" t="s">
        <v>187</v>
      </c>
      <c r="F5" s="142"/>
      <c r="G5" s="57"/>
      <c r="H5" s="81"/>
      <c r="I5" s="81"/>
      <c r="J5" s="81"/>
      <c r="K5" s="81"/>
      <c r="L5" s="81"/>
      <c r="M5" s="81"/>
      <c r="N5" s="81"/>
      <c r="O5" s="81"/>
    </row>
    <row r="6" spans="2:17">
      <c r="B6" s="242" t="s">
        <v>163</v>
      </c>
      <c r="C6" s="17" t="s">
        <v>67</v>
      </c>
      <c r="D6" s="81"/>
      <c r="E6" s="4" t="s">
        <v>98</v>
      </c>
      <c r="F6" s="193">
        <v>0</v>
      </c>
      <c r="G6" s="57"/>
      <c r="H6" s="243"/>
      <c r="I6" s="81"/>
      <c r="J6" s="81"/>
      <c r="K6" s="81"/>
      <c r="L6" s="243"/>
      <c r="M6" s="243"/>
      <c r="N6" s="243"/>
      <c r="O6" s="243"/>
    </row>
    <row r="7" spans="2:17" ht="16">
      <c r="C7" s="81"/>
      <c r="D7" s="57"/>
      <c r="E7" s="4" t="s">
        <v>297</v>
      </c>
      <c r="F7" s="253">
        <f>'Real Estate'!H37*F10-'Real Estate'!H11</f>
        <v>2250</v>
      </c>
      <c r="G7" s="57" t="s">
        <v>158</v>
      </c>
      <c r="H7" s="243"/>
      <c r="I7" s="81"/>
      <c r="J7" s="81"/>
      <c r="K7" s="81"/>
      <c r="L7" s="243"/>
      <c r="M7" s="243"/>
      <c r="N7" s="243"/>
      <c r="O7" s="243"/>
      <c r="P7" s="57"/>
      <c r="Q7" s="57"/>
    </row>
    <row r="8" spans="2:17" ht="15" customHeight="1">
      <c r="C8" s="81"/>
      <c r="D8" s="81"/>
      <c r="E8" s="4" t="s">
        <v>99</v>
      </c>
      <c r="F8" s="193">
        <v>0.9</v>
      </c>
      <c r="G8" s="57"/>
      <c r="H8" s="243"/>
      <c r="I8" s="81"/>
      <c r="J8" s="81"/>
      <c r="K8" s="81"/>
      <c r="L8" s="243"/>
      <c r="M8" s="243"/>
      <c r="N8" s="243"/>
      <c r="O8" s="243"/>
      <c r="P8" s="244"/>
      <c r="Q8" s="57"/>
    </row>
    <row r="9" spans="2:17">
      <c r="B9" s="18" t="s">
        <v>162</v>
      </c>
      <c r="C9" s="81"/>
      <c r="D9" s="81"/>
      <c r="E9" s="4" t="s">
        <v>100</v>
      </c>
      <c r="F9" s="193">
        <v>0.9</v>
      </c>
      <c r="G9" s="57"/>
      <c r="H9" s="243"/>
      <c r="I9" s="81"/>
      <c r="J9" s="81"/>
      <c r="K9" s="81"/>
      <c r="L9" s="243"/>
      <c r="M9" s="243"/>
      <c r="N9" s="243"/>
      <c r="O9" s="243"/>
      <c r="P9" s="244"/>
      <c r="Q9" s="57"/>
    </row>
    <row r="10" spans="2:17" ht="15" customHeight="1">
      <c r="C10" s="81"/>
      <c r="D10" s="81"/>
      <c r="E10" s="4" t="s">
        <v>101</v>
      </c>
      <c r="F10" s="193">
        <v>50</v>
      </c>
      <c r="G10" s="57"/>
      <c r="H10" s="244"/>
      <c r="I10" s="81"/>
      <c r="J10" s="81"/>
      <c r="K10" s="81"/>
      <c r="L10" s="244"/>
      <c r="M10" s="244"/>
      <c r="N10" s="244"/>
      <c r="O10" s="244"/>
      <c r="P10" s="244"/>
      <c r="Q10" s="57"/>
    </row>
    <row r="11" spans="2:17">
      <c r="C11" s="81"/>
      <c r="D11" s="81"/>
      <c r="E11" s="4" t="s">
        <v>102</v>
      </c>
      <c r="F11" s="193">
        <f>(INDEX('Hidden input'!B7:C8, MATCH(C5, 'Hidden input'!B7:B8, 0), 2))*30</f>
        <v>5025</v>
      </c>
      <c r="G11" s="57" t="s">
        <v>159</v>
      </c>
      <c r="H11" s="244"/>
      <c r="I11" s="81"/>
      <c r="J11" s="81"/>
      <c r="K11" s="81"/>
      <c r="L11" s="244"/>
      <c r="M11" s="244"/>
      <c r="N11" s="244"/>
      <c r="O11" s="244"/>
      <c r="P11" s="244"/>
      <c r="Q11" s="57"/>
    </row>
    <row r="12" spans="2:17">
      <c r="B12" s="57" t="s">
        <v>186</v>
      </c>
      <c r="C12" s="81"/>
      <c r="D12" s="81"/>
      <c r="E12" s="4" t="s">
        <v>103</v>
      </c>
      <c r="F12" s="193">
        <v>1</v>
      </c>
      <c r="G12" s="57"/>
      <c r="H12" s="57"/>
      <c r="I12" s="81"/>
      <c r="J12" s="81"/>
      <c r="K12" s="81"/>
      <c r="L12" s="57"/>
      <c r="M12" s="57"/>
      <c r="N12" s="57"/>
      <c r="O12" s="57"/>
      <c r="P12" s="57"/>
      <c r="Q12" s="57"/>
    </row>
    <row r="13" spans="2:17">
      <c r="B13" s="57" t="s">
        <v>323</v>
      </c>
      <c r="C13" s="81"/>
      <c r="D13" s="81"/>
      <c r="E13" s="13" t="s">
        <v>104</v>
      </c>
      <c r="F13" s="245">
        <v>10000000</v>
      </c>
      <c r="G13" s="57"/>
      <c r="H13" s="57"/>
      <c r="I13" s="81"/>
      <c r="J13" s="81"/>
      <c r="K13" s="81"/>
      <c r="L13" s="57"/>
      <c r="M13" s="57"/>
      <c r="N13" s="81"/>
      <c r="O13" s="81"/>
      <c r="P13" s="57"/>
      <c r="Q13" s="57"/>
    </row>
    <row r="14" spans="2:17">
      <c r="B14" s="57" t="s">
        <v>164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199"/>
      <c r="Q14" s="57"/>
    </row>
    <row r="15" spans="2:17" ht="15" customHeight="1">
      <c r="B15" s="24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2:17" s="247" customFormat="1" ht="31.5" customHeight="1">
      <c r="B16" s="248" t="s">
        <v>105</v>
      </c>
      <c r="C16" s="254" t="s">
        <v>106</v>
      </c>
      <c r="D16" s="254" t="s">
        <v>165</v>
      </c>
      <c r="E16" s="254" t="s">
        <v>157</v>
      </c>
      <c r="F16" s="254" t="s">
        <v>107</v>
      </c>
      <c r="G16" s="254" t="s">
        <v>108</v>
      </c>
      <c r="H16" s="254" t="s">
        <v>109</v>
      </c>
      <c r="I16" s="254" t="s">
        <v>101</v>
      </c>
      <c r="J16" s="254" t="s">
        <v>110</v>
      </c>
      <c r="K16" s="254" t="s">
        <v>111</v>
      </c>
      <c r="L16" s="254" t="s">
        <v>112</v>
      </c>
      <c r="M16" s="254" t="s">
        <v>113</v>
      </c>
      <c r="N16" s="254" t="s">
        <v>114</v>
      </c>
      <c r="O16" s="254" t="s">
        <v>115</v>
      </c>
      <c r="Q16" s="249"/>
    </row>
    <row r="17" spans="2:17">
      <c r="B17" s="57" t="s">
        <v>116</v>
      </c>
      <c r="C17" s="250">
        <f>F6</f>
        <v>0</v>
      </c>
      <c r="D17" s="57">
        <f>VLOOKUP($C6, 'Hidden input'!A14:M15, 2, FALSE)</f>
        <v>1</v>
      </c>
      <c r="E17" s="64">
        <f>F7</f>
        <v>2250</v>
      </c>
      <c r="F17" s="57">
        <f>F8</f>
        <v>0.9</v>
      </c>
      <c r="G17" s="57">
        <f>F9</f>
        <v>0.9</v>
      </c>
      <c r="H17" s="67">
        <f>D17*E17*F17*G17</f>
        <v>1822.5</v>
      </c>
      <c r="I17" s="57">
        <f>F10</f>
        <v>50</v>
      </c>
      <c r="J17" s="67">
        <f>F11</f>
        <v>5025</v>
      </c>
      <c r="K17" s="57">
        <f>F12</f>
        <v>1</v>
      </c>
      <c r="L17" s="67">
        <f>I17*J17*K17</f>
        <v>251250</v>
      </c>
      <c r="M17" s="67">
        <f>C17+H17-L17</f>
        <v>-249427.5</v>
      </c>
      <c r="N17" s="250">
        <f>IF(M17&gt;0,M17,0)</f>
        <v>0</v>
      </c>
      <c r="O17" s="67">
        <f t="shared" ref="O17:O64" si="0">IF(N17&gt;$F$13,$F$13,N17)</f>
        <v>0</v>
      </c>
      <c r="Q17" s="57"/>
    </row>
    <row r="18" spans="2:17">
      <c r="B18" s="57" t="s">
        <v>117</v>
      </c>
      <c r="C18" s="250">
        <f>O17</f>
        <v>0</v>
      </c>
      <c r="D18" s="57">
        <f>VLOOKUP($C6, 'Hidden input'!A14:M15, 3, FALSE)</f>
        <v>2</v>
      </c>
      <c r="E18" s="64">
        <f>F7</f>
        <v>2250</v>
      </c>
      <c r="F18" s="57">
        <f>F8</f>
        <v>0.9</v>
      </c>
      <c r="G18" s="57">
        <f>F9</f>
        <v>0.9</v>
      </c>
      <c r="H18" s="67">
        <f t="shared" ref="H18:H64" si="1">D18*E18*F18*G18</f>
        <v>3645</v>
      </c>
      <c r="I18" s="57">
        <f>F10</f>
        <v>50</v>
      </c>
      <c r="J18" s="67">
        <f>F11</f>
        <v>5025</v>
      </c>
      <c r="K18" s="57">
        <f>F12</f>
        <v>1</v>
      </c>
      <c r="L18" s="67">
        <f t="shared" ref="L18:L64" si="2">I18*J18*K18</f>
        <v>251250</v>
      </c>
      <c r="M18" s="67">
        <f t="shared" ref="M18:M64" si="3">C18+H18-L18</f>
        <v>-247605</v>
      </c>
      <c r="N18" s="250">
        <f t="shared" ref="N18:N64" si="4">IF(M18&gt;0,M18,0)</f>
        <v>0</v>
      </c>
      <c r="O18" s="67">
        <f t="shared" si="0"/>
        <v>0</v>
      </c>
      <c r="Q18" s="57"/>
    </row>
    <row r="19" spans="2:17">
      <c r="B19" s="57" t="s">
        <v>118</v>
      </c>
      <c r="C19" s="250">
        <f t="shared" ref="C19:C64" si="5">O18</f>
        <v>0</v>
      </c>
      <c r="D19" s="57">
        <f>VLOOKUP($C6, 'Hidden input'!A14:M15, 4, FALSE)</f>
        <v>9</v>
      </c>
      <c r="E19" s="64">
        <f>F7</f>
        <v>2250</v>
      </c>
      <c r="F19" s="57">
        <f>F8</f>
        <v>0.9</v>
      </c>
      <c r="G19" s="57">
        <f>F9</f>
        <v>0.9</v>
      </c>
      <c r="H19" s="67">
        <f t="shared" si="1"/>
        <v>16402.5</v>
      </c>
      <c r="I19" s="57">
        <f>F10</f>
        <v>50</v>
      </c>
      <c r="J19" s="67">
        <f>F11</f>
        <v>5025</v>
      </c>
      <c r="K19" s="57">
        <f>F12</f>
        <v>1</v>
      </c>
      <c r="L19" s="67">
        <f t="shared" si="2"/>
        <v>251250</v>
      </c>
      <c r="M19" s="67">
        <f t="shared" si="3"/>
        <v>-234847.5</v>
      </c>
      <c r="N19" s="250">
        <f t="shared" si="4"/>
        <v>0</v>
      </c>
      <c r="O19" s="67">
        <f t="shared" si="0"/>
        <v>0</v>
      </c>
      <c r="Q19" s="57"/>
    </row>
    <row r="20" spans="2:17">
      <c r="B20" s="57" t="s">
        <v>119</v>
      </c>
      <c r="C20" s="250">
        <f t="shared" si="5"/>
        <v>0</v>
      </c>
      <c r="D20" s="57">
        <f>VLOOKUP($C6, 'Hidden input'!A14:M15, 5, FALSE)</f>
        <v>34</v>
      </c>
      <c r="E20" s="64">
        <f>F7</f>
        <v>2250</v>
      </c>
      <c r="F20" s="57">
        <f>F8</f>
        <v>0.9</v>
      </c>
      <c r="G20" s="57">
        <f>F9</f>
        <v>0.9</v>
      </c>
      <c r="H20" s="67">
        <f t="shared" si="1"/>
        <v>61965</v>
      </c>
      <c r="I20" s="57">
        <f>F10</f>
        <v>50</v>
      </c>
      <c r="J20" s="67">
        <f>F11</f>
        <v>5025</v>
      </c>
      <c r="K20" s="57">
        <f>F12</f>
        <v>1</v>
      </c>
      <c r="L20" s="67">
        <f t="shared" si="2"/>
        <v>251250</v>
      </c>
      <c r="M20" s="67">
        <f t="shared" si="3"/>
        <v>-189285</v>
      </c>
      <c r="N20" s="250">
        <f t="shared" si="4"/>
        <v>0</v>
      </c>
      <c r="O20" s="67">
        <f t="shared" si="0"/>
        <v>0</v>
      </c>
      <c r="Q20" s="57"/>
    </row>
    <row r="21" spans="2:17">
      <c r="B21" s="57" t="s">
        <v>120</v>
      </c>
      <c r="C21" s="250">
        <f t="shared" si="5"/>
        <v>0</v>
      </c>
      <c r="D21" s="57">
        <f>VLOOKUP($C6, 'Hidden input'!A14:M15, 6, FALSE)</f>
        <v>276</v>
      </c>
      <c r="E21" s="64">
        <f>F7</f>
        <v>2250</v>
      </c>
      <c r="F21" s="57">
        <f>F8</f>
        <v>0.9</v>
      </c>
      <c r="G21" s="57">
        <f>F9</f>
        <v>0.9</v>
      </c>
      <c r="H21" s="67">
        <f t="shared" si="1"/>
        <v>503010</v>
      </c>
      <c r="I21" s="57">
        <f>F10</f>
        <v>50</v>
      </c>
      <c r="J21" s="67">
        <f>F11</f>
        <v>5025</v>
      </c>
      <c r="K21" s="57">
        <f>F12</f>
        <v>1</v>
      </c>
      <c r="L21" s="67">
        <f t="shared" si="2"/>
        <v>251250</v>
      </c>
      <c r="M21" s="67">
        <f t="shared" si="3"/>
        <v>251760</v>
      </c>
      <c r="N21" s="250">
        <f t="shared" si="4"/>
        <v>251760</v>
      </c>
      <c r="O21" s="67">
        <f t="shared" si="0"/>
        <v>251760</v>
      </c>
      <c r="Q21" s="57"/>
    </row>
    <row r="22" spans="2:17">
      <c r="B22" s="57" t="s">
        <v>121</v>
      </c>
      <c r="C22" s="250">
        <f t="shared" si="5"/>
        <v>251760</v>
      </c>
      <c r="D22" s="57">
        <f>VLOOKUP($C6, 'Hidden input'!A14:M15, 7, FALSE)</f>
        <v>332</v>
      </c>
      <c r="E22" s="64">
        <f>F7</f>
        <v>2250</v>
      </c>
      <c r="F22" s="57">
        <f>F8</f>
        <v>0.9</v>
      </c>
      <c r="G22" s="57">
        <f>F9</f>
        <v>0.9</v>
      </c>
      <c r="H22" s="67">
        <f t="shared" si="1"/>
        <v>605070</v>
      </c>
      <c r="I22" s="57">
        <f>F10</f>
        <v>50</v>
      </c>
      <c r="J22" s="67">
        <f>F11</f>
        <v>5025</v>
      </c>
      <c r="K22" s="57">
        <f>F12</f>
        <v>1</v>
      </c>
      <c r="L22" s="67">
        <f t="shared" si="2"/>
        <v>251250</v>
      </c>
      <c r="M22" s="67">
        <f t="shared" si="3"/>
        <v>605580</v>
      </c>
      <c r="N22" s="250">
        <f t="shared" si="4"/>
        <v>605580</v>
      </c>
      <c r="O22" s="67">
        <f t="shared" si="0"/>
        <v>605580</v>
      </c>
      <c r="Q22" s="57"/>
    </row>
    <row r="23" spans="2:17">
      <c r="B23" s="57" t="s">
        <v>122</v>
      </c>
      <c r="C23" s="250">
        <f t="shared" si="5"/>
        <v>605580</v>
      </c>
      <c r="D23" s="57">
        <f>VLOOKUP($C6, 'Hidden input'!A14:M15, 8, FALSE)</f>
        <v>179</v>
      </c>
      <c r="E23" s="64">
        <f>F7</f>
        <v>2250</v>
      </c>
      <c r="F23" s="57">
        <f>F8</f>
        <v>0.9</v>
      </c>
      <c r="G23" s="57">
        <f>F9</f>
        <v>0.9</v>
      </c>
      <c r="H23" s="67">
        <f t="shared" si="1"/>
        <v>326227.5</v>
      </c>
      <c r="I23" s="57">
        <f>F10</f>
        <v>50</v>
      </c>
      <c r="J23" s="67">
        <f>F11</f>
        <v>5025</v>
      </c>
      <c r="K23" s="57">
        <f>F12</f>
        <v>1</v>
      </c>
      <c r="L23" s="67">
        <f t="shared" si="2"/>
        <v>251250</v>
      </c>
      <c r="M23" s="67">
        <f t="shared" si="3"/>
        <v>680557.5</v>
      </c>
      <c r="N23" s="250">
        <f t="shared" si="4"/>
        <v>680557.5</v>
      </c>
      <c r="O23" s="67">
        <f t="shared" si="0"/>
        <v>680557.5</v>
      </c>
      <c r="Q23" s="57"/>
    </row>
    <row r="24" spans="2:17">
      <c r="B24" s="57" t="s">
        <v>123</v>
      </c>
      <c r="C24" s="250">
        <f t="shared" si="5"/>
        <v>680557.5</v>
      </c>
      <c r="D24" s="57">
        <f>VLOOKUP($C6, 'Hidden input'!A14:M15, 9, FALSE)</f>
        <v>234</v>
      </c>
      <c r="E24" s="64">
        <f>F7</f>
        <v>2250</v>
      </c>
      <c r="F24" s="57">
        <f>F8</f>
        <v>0.9</v>
      </c>
      <c r="G24" s="57">
        <f>F9</f>
        <v>0.9</v>
      </c>
      <c r="H24" s="67">
        <f t="shared" si="1"/>
        <v>426465</v>
      </c>
      <c r="I24" s="57">
        <f>F10</f>
        <v>50</v>
      </c>
      <c r="J24" s="67">
        <f>F11</f>
        <v>5025</v>
      </c>
      <c r="K24" s="57">
        <f>F12</f>
        <v>1</v>
      </c>
      <c r="L24" s="67">
        <f t="shared" si="2"/>
        <v>251250</v>
      </c>
      <c r="M24" s="67">
        <f t="shared" si="3"/>
        <v>855772.5</v>
      </c>
      <c r="N24" s="250">
        <f t="shared" si="4"/>
        <v>855772.5</v>
      </c>
      <c r="O24" s="67">
        <f t="shared" si="0"/>
        <v>855772.5</v>
      </c>
      <c r="Q24" s="57"/>
    </row>
    <row r="25" spans="2:17">
      <c r="B25" s="57" t="s">
        <v>124</v>
      </c>
      <c r="C25" s="250">
        <f t="shared" si="5"/>
        <v>855772.5</v>
      </c>
      <c r="D25" s="57">
        <f>VLOOKUP($C6, 'Hidden input'!A14:M15, 10, FALSE)</f>
        <v>412</v>
      </c>
      <c r="E25" s="64">
        <f>F7</f>
        <v>2250</v>
      </c>
      <c r="F25" s="57">
        <f>F8</f>
        <v>0.9</v>
      </c>
      <c r="G25" s="57">
        <f>F9</f>
        <v>0.9</v>
      </c>
      <c r="H25" s="67">
        <f t="shared" si="1"/>
        <v>750870</v>
      </c>
      <c r="I25" s="57">
        <f>F10</f>
        <v>50</v>
      </c>
      <c r="J25" s="67">
        <f>F11</f>
        <v>5025</v>
      </c>
      <c r="K25" s="57">
        <f>F12</f>
        <v>1</v>
      </c>
      <c r="L25" s="67">
        <f t="shared" si="2"/>
        <v>251250</v>
      </c>
      <c r="M25" s="67">
        <f t="shared" si="3"/>
        <v>1355392.5</v>
      </c>
      <c r="N25" s="250">
        <f t="shared" si="4"/>
        <v>1355392.5</v>
      </c>
      <c r="O25" s="67">
        <f t="shared" si="0"/>
        <v>1355392.5</v>
      </c>
      <c r="Q25" s="57"/>
    </row>
    <row r="26" spans="2:17">
      <c r="B26" s="57" t="s">
        <v>125</v>
      </c>
      <c r="C26" s="250">
        <f t="shared" si="5"/>
        <v>1355392.5</v>
      </c>
      <c r="D26" s="57">
        <f>VLOOKUP($C6, 'Hidden input'!A14:M15, 11, FALSE)</f>
        <v>306</v>
      </c>
      <c r="E26" s="64">
        <f>F7</f>
        <v>2250</v>
      </c>
      <c r="F26" s="57">
        <f>F8</f>
        <v>0.9</v>
      </c>
      <c r="G26" s="57">
        <f>F9</f>
        <v>0.9</v>
      </c>
      <c r="H26" s="67">
        <f t="shared" si="1"/>
        <v>557685</v>
      </c>
      <c r="I26" s="57">
        <f>F10</f>
        <v>50</v>
      </c>
      <c r="J26" s="67">
        <f>F11</f>
        <v>5025</v>
      </c>
      <c r="K26" s="57">
        <f>F12</f>
        <v>1</v>
      </c>
      <c r="L26" s="67">
        <f t="shared" si="2"/>
        <v>251250</v>
      </c>
      <c r="M26" s="67">
        <f t="shared" si="3"/>
        <v>1661827.5</v>
      </c>
      <c r="N26" s="250">
        <f t="shared" si="4"/>
        <v>1661827.5</v>
      </c>
      <c r="O26" s="67">
        <f t="shared" si="0"/>
        <v>1661827.5</v>
      </c>
      <c r="Q26" s="57"/>
    </row>
    <row r="27" spans="2:17">
      <c r="B27" s="57" t="s">
        <v>126</v>
      </c>
      <c r="C27" s="250">
        <f t="shared" si="5"/>
        <v>1661827.5</v>
      </c>
      <c r="D27" s="57">
        <f>VLOOKUP($C6, 'Hidden input'!A14:M15, 12, FALSE)</f>
        <v>59</v>
      </c>
      <c r="E27" s="64">
        <f>F7</f>
        <v>2250</v>
      </c>
      <c r="F27" s="57">
        <f>F8</f>
        <v>0.9</v>
      </c>
      <c r="G27" s="57">
        <f>F9</f>
        <v>0.9</v>
      </c>
      <c r="H27" s="67">
        <f t="shared" si="1"/>
        <v>107527.5</v>
      </c>
      <c r="I27" s="57">
        <f>F10</f>
        <v>50</v>
      </c>
      <c r="J27" s="67">
        <f>F11</f>
        <v>5025</v>
      </c>
      <c r="K27" s="57">
        <f>F12</f>
        <v>1</v>
      </c>
      <c r="L27" s="67">
        <f t="shared" si="2"/>
        <v>251250</v>
      </c>
      <c r="M27" s="67">
        <f t="shared" si="3"/>
        <v>1518105</v>
      </c>
      <c r="N27" s="250">
        <f t="shared" si="4"/>
        <v>1518105</v>
      </c>
      <c r="O27" s="67">
        <f t="shared" si="0"/>
        <v>1518105</v>
      </c>
      <c r="Q27" s="57"/>
    </row>
    <row r="28" spans="2:17">
      <c r="B28" s="14" t="s">
        <v>127</v>
      </c>
      <c r="C28" s="251">
        <f t="shared" si="5"/>
        <v>1518105</v>
      </c>
      <c r="D28" s="14">
        <f>VLOOKUP($C6, 'Hidden input'!A14:M15, 13, FALSE)</f>
        <v>11</v>
      </c>
      <c r="E28" s="117">
        <f>F7</f>
        <v>2250</v>
      </c>
      <c r="F28" s="14">
        <f>F8</f>
        <v>0.9</v>
      </c>
      <c r="G28" s="14">
        <f>F9</f>
        <v>0.9</v>
      </c>
      <c r="H28" s="137">
        <f t="shared" si="1"/>
        <v>20047.5</v>
      </c>
      <c r="I28" s="14">
        <f>F10</f>
        <v>50</v>
      </c>
      <c r="J28" s="137">
        <f>F11</f>
        <v>5025</v>
      </c>
      <c r="K28" s="14">
        <f>F12</f>
        <v>1</v>
      </c>
      <c r="L28" s="137">
        <f t="shared" si="2"/>
        <v>251250</v>
      </c>
      <c r="M28" s="137">
        <f t="shared" si="3"/>
        <v>1286902.5</v>
      </c>
      <c r="N28" s="251">
        <f t="shared" si="4"/>
        <v>1286902.5</v>
      </c>
      <c r="O28" s="137">
        <f t="shared" si="0"/>
        <v>1286902.5</v>
      </c>
      <c r="Q28" s="57"/>
    </row>
    <row r="29" spans="2:17">
      <c r="B29" s="57" t="s">
        <v>116</v>
      </c>
      <c r="C29" s="250">
        <f t="shared" si="5"/>
        <v>1286902.5</v>
      </c>
      <c r="D29" s="57">
        <f t="shared" ref="D29:D40" si="6">D17</f>
        <v>1</v>
      </c>
      <c r="E29" s="64">
        <f>F7</f>
        <v>2250</v>
      </c>
      <c r="F29" s="57">
        <f>F8</f>
        <v>0.9</v>
      </c>
      <c r="G29" s="57">
        <f>F9</f>
        <v>0.9</v>
      </c>
      <c r="H29" s="67">
        <f t="shared" si="1"/>
        <v>1822.5</v>
      </c>
      <c r="I29" s="57">
        <f>F10</f>
        <v>50</v>
      </c>
      <c r="J29" s="67">
        <f>F11</f>
        <v>5025</v>
      </c>
      <c r="K29" s="57">
        <f>F12</f>
        <v>1</v>
      </c>
      <c r="L29" s="67">
        <f t="shared" si="2"/>
        <v>251250</v>
      </c>
      <c r="M29" s="67">
        <f t="shared" si="3"/>
        <v>1037475</v>
      </c>
      <c r="N29" s="250">
        <f t="shared" si="4"/>
        <v>1037475</v>
      </c>
      <c r="O29" s="67">
        <f t="shared" si="0"/>
        <v>1037475</v>
      </c>
      <c r="Q29" s="57"/>
    </row>
    <row r="30" spans="2:17">
      <c r="B30" s="57" t="s">
        <v>117</v>
      </c>
      <c r="C30" s="250">
        <f t="shared" si="5"/>
        <v>1037475</v>
      </c>
      <c r="D30" s="57">
        <f t="shared" si="6"/>
        <v>2</v>
      </c>
      <c r="E30" s="64">
        <f>F7</f>
        <v>2250</v>
      </c>
      <c r="F30" s="57">
        <f>F8</f>
        <v>0.9</v>
      </c>
      <c r="G30" s="57">
        <f>F9</f>
        <v>0.9</v>
      </c>
      <c r="H30" s="67">
        <f t="shared" si="1"/>
        <v>3645</v>
      </c>
      <c r="I30" s="57">
        <f>F10</f>
        <v>50</v>
      </c>
      <c r="J30" s="67">
        <f>F11</f>
        <v>5025</v>
      </c>
      <c r="K30" s="57">
        <f>F12</f>
        <v>1</v>
      </c>
      <c r="L30" s="67">
        <f t="shared" si="2"/>
        <v>251250</v>
      </c>
      <c r="M30" s="67">
        <f t="shared" si="3"/>
        <v>789870</v>
      </c>
      <c r="N30" s="250">
        <f t="shared" si="4"/>
        <v>789870</v>
      </c>
      <c r="O30" s="67">
        <f t="shared" si="0"/>
        <v>789870</v>
      </c>
      <c r="Q30" s="57"/>
    </row>
    <row r="31" spans="2:17" ht="15" customHeight="1">
      <c r="B31" s="57" t="s">
        <v>118</v>
      </c>
      <c r="C31" s="250">
        <f t="shared" si="5"/>
        <v>789870</v>
      </c>
      <c r="D31" s="57">
        <f t="shared" si="6"/>
        <v>9</v>
      </c>
      <c r="E31" s="64">
        <f>F7</f>
        <v>2250</v>
      </c>
      <c r="F31" s="57">
        <f>F8</f>
        <v>0.9</v>
      </c>
      <c r="G31" s="57">
        <f>F9</f>
        <v>0.9</v>
      </c>
      <c r="H31" s="67">
        <f t="shared" si="1"/>
        <v>16402.5</v>
      </c>
      <c r="I31" s="57">
        <f>F10</f>
        <v>50</v>
      </c>
      <c r="J31" s="67">
        <f>F11</f>
        <v>5025</v>
      </c>
      <c r="K31" s="57">
        <f>F12</f>
        <v>1</v>
      </c>
      <c r="L31" s="67">
        <f t="shared" si="2"/>
        <v>251250</v>
      </c>
      <c r="M31" s="67">
        <f t="shared" si="3"/>
        <v>555022.5</v>
      </c>
      <c r="N31" s="250">
        <f t="shared" si="4"/>
        <v>555022.5</v>
      </c>
      <c r="O31" s="67">
        <f t="shared" si="0"/>
        <v>555022.5</v>
      </c>
      <c r="Q31" s="57"/>
    </row>
    <row r="32" spans="2:17">
      <c r="B32" s="57" t="s">
        <v>119</v>
      </c>
      <c r="C32" s="250">
        <f t="shared" si="5"/>
        <v>555022.5</v>
      </c>
      <c r="D32" s="57">
        <f t="shared" si="6"/>
        <v>34</v>
      </c>
      <c r="E32" s="64">
        <f>F7</f>
        <v>2250</v>
      </c>
      <c r="F32" s="57">
        <f>F8</f>
        <v>0.9</v>
      </c>
      <c r="G32" s="57">
        <f>F9</f>
        <v>0.9</v>
      </c>
      <c r="H32" s="67">
        <f t="shared" si="1"/>
        <v>61965</v>
      </c>
      <c r="I32" s="57">
        <f>F10</f>
        <v>50</v>
      </c>
      <c r="J32" s="67">
        <f>F11</f>
        <v>5025</v>
      </c>
      <c r="K32" s="57">
        <f>F12</f>
        <v>1</v>
      </c>
      <c r="L32" s="67">
        <f t="shared" si="2"/>
        <v>251250</v>
      </c>
      <c r="M32" s="67">
        <f t="shared" si="3"/>
        <v>365737.5</v>
      </c>
      <c r="N32" s="250">
        <f t="shared" si="4"/>
        <v>365737.5</v>
      </c>
      <c r="O32" s="67">
        <f t="shared" si="0"/>
        <v>365737.5</v>
      </c>
      <c r="Q32" s="57"/>
    </row>
    <row r="33" spans="2:17">
      <c r="B33" s="57" t="s">
        <v>120</v>
      </c>
      <c r="C33" s="250">
        <f t="shared" si="5"/>
        <v>365737.5</v>
      </c>
      <c r="D33" s="57">
        <f t="shared" si="6"/>
        <v>276</v>
      </c>
      <c r="E33" s="64">
        <f>F7</f>
        <v>2250</v>
      </c>
      <c r="F33" s="57">
        <f>F8</f>
        <v>0.9</v>
      </c>
      <c r="G33" s="57">
        <f>F9</f>
        <v>0.9</v>
      </c>
      <c r="H33" s="67">
        <f t="shared" si="1"/>
        <v>503010</v>
      </c>
      <c r="I33" s="57">
        <f>F10</f>
        <v>50</v>
      </c>
      <c r="J33" s="67">
        <f>F11</f>
        <v>5025</v>
      </c>
      <c r="K33" s="57">
        <f>F12</f>
        <v>1</v>
      </c>
      <c r="L33" s="67">
        <f t="shared" si="2"/>
        <v>251250</v>
      </c>
      <c r="M33" s="67">
        <f t="shared" si="3"/>
        <v>617497.5</v>
      </c>
      <c r="N33" s="250">
        <f t="shared" si="4"/>
        <v>617497.5</v>
      </c>
      <c r="O33" s="67">
        <f t="shared" si="0"/>
        <v>617497.5</v>
      </c>
      <c r="Q33" s="57"/>
    </row>
    <row r="34" spans="2:17">
      <c r="B34" s="57" t="s">
        <v>121</v>
      </c>
      <c r="C34" s="250">
        <f t="shared" si="5"/>
        <v>617497.5</v>
      </c>
      <c r="D34" s="57">
        <f t="shared" si="6"/>
        <v>332</v>
      </c>
      <c r="E34" s="64">
        <f>F7</f>
        <v>2250</v>
      </c>
      <c r="F34" s="57">
        <f>F8</f>
        <v>0.9</v>
      </c>
      <c r="G34" s="57">
        <f>F9</f>
        <v>0.9</v>
      </c>
      <c r="H34" s="67">
        <f t="shared" si="1"/>
        <v>605070</v>
      </c>
      <c r="I34" s="57">
        <f>F10</f>
        <v>50</v>
      </c>
      <c r="J34" s="67">
        <f>F11</f>
        <v>5025</v>
      </c>
      <c r="K34" s="57">
        <f>F12</f>
        <v>1</v>
      </c>
      <c r="L34" s="67">
        <f t="shared" si="2"/>
        <v>251250</v>
      </c>
      <c r="M34" s="67">
        <f t="shared" si="3"/>
        <v>971317.5</v>
      </c>
      <c r="N34" s="250">
        <f t="shared" si="4"/>
        <v>971317.5</v>
      </c>
      <c r="O34" s="67">
        <f t="shared" si="0"/>
        <v>971317.5</v>
      </c>
      <c r="Q34" s="57"/>
    </row>
    <row r="35" spans="2:17">
      <c r="B35" s="57" t="s">
        <v>122</v>
      </c>
      <c r="C35" s="250">
        <f t="shared" si="5"/>
        <v>971317.5</v>
      </c>
      <c r="D35" s="57">
        <f t="shared" si="6"/>
        <v>179</v>
      </c>
      <c r="E35" s="64">
        <f>F7</f>
        <v>2250</v>
      </c>
      <c r="F35" s="57">
        <f>F8</f>
        <v>0.9</v>
      </c>
      <c r="G35" s="57">
        <f>F9</f>
        <v>0.9</v>
      </c>
      <c r="H35" s="67">
        <f t="shared" si="1"/>
        <v>326227.5</v>
      </c>
      <c r="I35" s="57">
        <f>F10</f>
        <v>50</v>
      </c>
      <c r="J35" s="67">
        <f>F11</f>
        <v>5025</v>
      </c>
      <c r="K35" s="57">
        <f>F12</f>
        <v>1</v>
      </c>
      <c r="L35" s="67">
        <f t="shared" si="2"/>
        <v>251250</v>
      </c>
      <c r="M35" s="67">
        <f t="shared" si="3"/>
        <v>1046295</v>
      </c>
      <c r="N35" s="250">
        <f t="shared" si="4"/>
        <v>1046295</v>
      </c>
      <c r="O35" s="67">
        <f t="shared" si="0"/>
        <v>1046295</v>
      </c>
      <c r="Q35" s="57"/>
    </row>
    <row r="36" spans="2:17">
      <c r="B36" s="57" t="s">
        <v>123</v>
      </c>
      <c r="C36" s="250">
        <f t="shared" si="5"/>
        <v>1046295</v>
      </c>
      <c r="D36" s="57">
        <f t="shared" si="6"/>
        <v>234</v>
      </c>
      <c r="E36" s="64">
        <f>F7</f>
        <v>2250</v>
      </c>
      <c r="F36" s="57">
        <f>F8</f>
        <v>0.9</v>
      </c>
      <c r="G36" s="57">
        <f>F9</f>
        <v>0.9</v>
      </c>
      <c r="H36" s="67">
        <f t="shared" si="1"/>
        <v>426465</v>
      </c>
      <c r="I36" s="57">
        <f>F10</f>
        <v>50</v>
      </c>
      <c r="J36" s="67">
        <f>F11</f>
        <v>5025</v>
      </c>
      <c r="K36" s="57">
        <f>F12</f>
        <v>1</v>
      </c>
      <c r="L36" s="67">
        <f t="shared" si="2"/>
        <v>251250</v>
      </c>
      <c r="M36" s="67">
        <f t="shared" si="3"/>
        <v>1221510</v>
      </c>
      <c r="N36" s="250">
        <f t="shared" si="4"/>
        <v>1221510</v>
      </c>
      <c r="O36" s="67">
        <f t="shared" si="0"/>
        <v>1221510</v>
      </c>
      <c r="Q36" s="57"/>
    </row>
    <row r="37" spans="2:17">
      <c r="B37" s="57" t="s">
        <v>124</v>
      </c>
      <c r="C37" s="250">
        <f t="shared" si="5"/>
        <v>1221510</v>
      </c>
      <c r="D37" s="57">
        <f t="shared" si="6"/>
        <v>412</v>
      </c>
      <c r="E37" s="64">
        <f>F7</f>
        <v>2250</v>
      </c>
      <c r="F37" s="57">
        <f>F8</f>
        <v>0.9</v>
      </c>
      <c r="G37" s="57">
        <f>F9</f>
        <v>0.9</v>
      </c>
      <c r="H37" s="67">
        <f t="shared" si="1"/>
        <v>750870</v>
      </c>
      <c r="I37" s="57">
        <f>F10</f>
        <v>50</v>
      </c>
      <c r="J37" s="67">
        <f>F11</f>
        <v>5025</v>
      </c>
      <c r="K37" s="57">
        <f>F12</f>
        <v>1</v>
      </c>
      <c r="L37" s="67">
        <f t="shared" si="2"/>
        <v>251250</v>
      </c>
      <c r="M37" s="67">
        <f t="shared" si="3"/>
        <v>1721130</v>
      </c>
      <c r="N37" s="250">
        <f t="shared" si="4"/>
        <v>1721130</v>
      </c>
      <c r="O37" s="67">
        <f t="shared" si="0"/>
        <v>1721130</v>
      </c>
      <c r="Q37" s="57"/>
    </row>
    <row r="38" spans="2:17">
      <c r="B38" s="57" t="s">
        <v>125</v>
      </c>
      <c r="C38" s="250">
        <f t="shared" si="5"/>
        <v>1721130</v>
      </c>
      <c r="D38" s="57">
        <f t="shared" si="6"/>
        <v>306</v>
      </c>
      <c r="E38" s="64">
        <f>F7</f>
        <v>2250</v>
      </c>
      <c r="F38" s="57">
        <f>F8</f>
        <v>0.9</v>
      </c>
      <c r="G38" s="57">
        <f>F9</f>
        <v>0.9</v>
      </c>
      <c r="H38" s="67">
        <f t="shared" si="1"/>
        <v>557685</v>
      </c>
      <c r="I38" s="57">
        <f>F10</f>
        <v>50</v>
      </c>
      <c r="J38" s="67">
        <f>F11</f>
        <v>5025</v>
      </c>
      <c r="K38" s="57">
        <f>F12</f>
        <v>1</v>
      </c>
      <c r="L38" s="67">
        <f t="shared" si="2"/>
        <v>251250</v>
      </c>
      <c r="M38" s="67">
        <f t="shared" si="3"/>
        <v>2027565</v>
      </c>
      <c r="N38" s="250">
        <f t="shared" si="4"/>
        <v>2027565</v>
      </c>
      <c r="O38" s="67">
        <f t="shared" si="0"/>
        <v>2027565</v>
      </c>
      <c r="Q38" s="57"/>
    </row>
    <row r="39" spans="2:17">
      <c r="B39" s="57" t="s">
        <v>126</v>
      </c>
      <c r="C39" s="250">
        <f t="shared" si="5"/>
        <v>2027565</v>
      </c>
      <c r="D39" s="57">
        <f t="shared" si="6"/>
        <v>59</v>
      </c>
      <c r="E39" s="64">
        <f>F7</f>
        <v>2250</v>
      </c>
      <c r="F39" s="57">
        <f>F8</f>
        <v>0.9</v>
      </c>
      <c r="G39" s="57">
        <f>F9</f>
        <v>0.9</v>
      </c>
      <c r="H39" s="67">
        <f t="shared" si="1"/>
        <v>107527.5</v>
      </c>
      <c r="I39" s="57">
        <f>F10</f>
        <v>50</v>
      </c>
      <c r="J39" s="67">
        <f>F11</f>
        <v>5025</v>
      </c>
      <c r="K39" s="57">
        <f>F12</f>
        <v>1</v>
      </c>
      <c r="L39" s="67">
        <f t="shared" si="2"/>
        <v>251250</v>
      </c>
      <c r="M39" s="67">
        <f t="shared" si="3"/>
        <v>1883842.5</v>
      </c>
      <c r="N39" s="250">
        <f t="shared" si="4"/>
        <v>1883842.5</v>
      </c>
      <c r="O39" s="67">
        <f t="shared" si="0"/>
        <v>1883842.5</v>
      </c>
      <c r="Q39" s="57"/>
    </row>
    <row r="40" spans="2:17">
      <c r="B40" s="14" t="s">
        <v>127</v>
      </c>
      <c r="C40" s="251">
        <f t="shared" si="5"/>
        <v>1883842.5</v>
      </c>
      <c r="D40" s="14">
        <f t="shared" si="6"/>
        <v>11</v>
      </c>
      <c r="E40" s="117">
        <f>F7</f>
        <v>2250</v>
      </c>
      <c r="F40" s="14">
        <f>F8</f>
        <v>0.9</v>
      </c>
      <c r="G40" s="14">
        <f>F9</f>
        <v>0.9</v>
      </c>
      <c r="H40" s="137">
        <f t="shared" si="1"/>
        <v>20047.5</v>
      </c>
      <c r="I40" s="14">
        <f>F10</f>
        <v>50</v>
      </c>
      <c r="J40" s="137">
        <f>F11</f>
        <v>5025</v>
      </c>
      <c r="K40" s="14">
        <f>F12</f>
        <v>1</v>
      </c>
      <c r="L40" s="137">
        <f t="shared" si="2"/>
        <v>251250</v>
      </c>
      <c r="M40" s="137">
        <f t="shared" si="3"/>
        <v>1652640</v>
      </c>
      <c r="N40" s="251">
        <f t="shared" si="4"/>
        <v>1652640</v>
      </c>
      <c r="O40" s="137">
        <f t="shared" si="0"/>
        <v>1652640</v>
      </c>
      <c r="Q40" s="57"/>
    </row>
    <row r="41" spans="2:17">
      <c r="B41" s="57" t="s">
        <v>116</v>
      </c>
      <c r="C41" s="250">
        <f t="shared" si="5"/>
        <v>1652640</v>
      </c>
      <c r="D41" s="57">
        <f t="shared" ref="D41:D52" si="7">D17</f>
        <v>1</v>
      </c>
      <c r="E41" s="64">
        <f>F7</f>
        <v>2250</v>
      </c>
      <c r="F41" s="57">
        <f>F8</f>
        <v>0.9</v>
      </c>
      <c r="G41" s="57">
        <f>F9</f>
        <v>0.9</v>
      </c>
      <c r="H41" s="67">
        <f t="shared" si="1"/>
        <v>1822.5</v>
      </c>
      <c r="I41" s="57">
        <f>F10</f>
        <v>50</v>
      </c>
      <c r="J41" s="67">
        <f>F11</f>
        <v>5025</v>
      </c>
      <c r="K41" s="57">
        <f>F12</f>
        <v>1</v>
      </c>
      <c r="L41" s="67">
        <f t="shared" si="2"/>
        <v>251250</v>
      </c>
      <c r="M41" s="67">
        <f t="shared" si="3"/>
        <v>1403212.5</v>
      </c>
      <c r="N41" s="250">
        <f t="shared" si="4"/>
        <v>1403212.5</v>
      </c>
      <c r="O41" s="67">
        <f t="shared" si="0"/>
        <v>1403212.5</v>
      </c>
      <c r="Q41" s="57"/>
    </row>
    <row r="42" spans="2:17">
      <c r="B42" s="57" t="s">
        <v>117</v>
      </c>
      <c r="C42" s="250">
        <f t="shared" si="5"/>
        <v>1403212.5</v>
      </c>
      <c r="D42" s="57">
        <f t="shared" si="7"/>
        <v>2</v>
      </c>
      <c r="E42" s="64">
        <f>F7</f>
        <v>2250</v>
      </c>
      <c r="F42" s="57">
        <f>F8</f>
        <v>0.9</v>
      </c>
      <c r="G42" s="57">
        <f>F9</f>
        <v>0.9</v>
      </c>
      <c r="H42" s="67">
        <f t="shared" si="1"/>
        <v>3645</v>
      </c>
      <c r="I42" s="57">
        <f>F10</f>
        <v>50</v>
      </c>
      <c r="J42" s="67">
        <f>F11</f>
        <v>5025</v>
      </c>
      <c r="K42" s="57">
        <f>F12</f>
        <v>1</v>
      </c>
      <c r="L42" s="67">
        <f t="shared" si="2"/>
        <v>251250</v>
      </c>
      <c r="M42" s="67">
        <f t="shared" si="3"/>
        <v>1155607.5</v>
      </c>
      <c r="N42" s="250">
        <f t="shared" si="4"/>
        <v>1155607.5</v>
      </c>
      <c r="O42" s="67">
        <f t="shared" si="0"/>
        <v>1155607.5</v>
      </c>
      <c r="Q42" s="57"/>
    </row>
    <row r="43" spans="2:17">
      <c r="B43" s="57" t="s">
        <v>118</v>
      </c>
      <c r="C43" s="250">
        <f t="shared" si="5"/>
        <v>1155607.5</v>
      </c>
      <c r="D43" s="57">
        <f t="shared" si="7"/>
        <v>9</v>
      </c>
      <c r="E43" s="64">
        <f>F7</f>
        <v>2250</v>
      </c>
      <c r="F43" s="57">
        <f>F8</f>
        <v>0.9</v>
      </c>
      <c r="G43" s="57">
        <f>F9</f>
        <v>0.9</v>
      </c>
      <c r="H43" s="67">
        <f t="shared" si="1"/>
        <v>16402.5</v>
      </c>
      <c r="I43" s="57">
        <f>F10</f>
        <v>50</v>
      </c>
      <c r="J43" s="67">
        <f>F11</f>
        <v>5025</v>
      </c>
      <c r="K43" s="57">
        <f>F12</f>
        <v>1</v>
      </c>
      <c r="L43" s="67">
        <f t="shared" si="2"/>
        <v>251250</v>
      </c>
      <c r="M43" s="67">
        <f t="shared" si="3"/>
        <v>920760</v>
      </c>
      <c r="N43" s="250">
        <f t="shared" si="4"/>
        <v>920760</v>
      </c>
      <c r="O43" s="67">
        <f t="shared" si="0"/>
        <v>920760</v>
      </c>
      <c r="Q43" s="57"/>
    </row>
    <row r="44" spans="2:17">
      <c r="B44" s="57" t="s">
        <v>119</v>
      </c>
      <c r="C44" s="250">
        <f t="shared" si="5"/>
        <v>920760</v>
      </c>
      <c r="D44" s="57">
        <f t="shared" si="7"/>
        <v>34</v>
      </c>
      <c r="E44" s="64">
        <f>F7</f>
        <v>2250</v>
      </c>
      <c r="F44" s="57">
        <f>F8</f>
        <v>0.9</v>
      </c>
      <c r="G44" s="57">
        <f>F9</f>
        <v>0.9</v>
      </c>
      <c r="H44" s="67">
        <f t="shared" si="1"/>
        <v>61965</v>
      </c>
      <c r="I44" s="57">
        <f>F10</f>
        <v>50</v>
      </c>
      <c r="J44" s="67">
        <f>F11</f>
        <v>5025</v>
      </c>
      <c r="K44" s="57">
        <f>F12</f>
        <v>1</v>
      </c>
      <c r="L44" s="67">
        <f t="shared" si="2"/>
        <v>251250</v>
      </c>
      <c r="M44" s="67">
        <f t="shared" si="3"/>
        <v>731475</v>
      </c>
      <c r="N44" s="250">
        <f t="shared" si="4"/>
        <v>731475</v>
      </c>
      <c r="O44" s="67">
        <f t="shared" si="0"/>
        <v>731475</v>
      </c>
      <c r="Q44" s="57"/>
    </row>
    <row r="45" spans="2:17">
      <c r="B45" s="57" t="s">
        <v>120</v>
      </c>
      <c r="C45" s="250">
        <f t="shared" si="5"/>
        <v>731475</v>
      </c>
      <c r="D45" s="57">
        <f t="shared" si="7"/>
        <v>276</v>
      </c>
      <c r="E45" s="64">
        <f>F7</f>
        <v>2250</v>
      </c>
      <c r="F45" s="57">
        <f>F8</f>
        <v>0.9</v>
      </c>
      <c r="G45" s="57">
        <f>F9</f>
        <v>0.9</v>
      </c>
      <c r="H45" s="67">
        <f t="shared" si="1"/>
        <v>503010</v>
      </c>
      <c r="I45" s="57">
        <f>F10</f>
        <v>50</v>
      </c>
      <c r="J45" s="67">
        <f>F11</f>
        <v>5025</v>
      </c>
      <c r="K45" s="57">
        <f>F12</f>
        <v>1</v>
      </c>
      <c r="L45" s="67">
        <f t="shared" si="2"/>
        <v>251250</v>
      </c>
      <c r="M45" s="67">
        <f t="shared" si="3"/>
        <v>983235</v>
      </c>
      <c r="N45" s="250">
        <f t="shared" si="4"/>
        <v>983235</v>
      </c>
      <c r="O45" s="67">
        <f t="shared" si="0"/>
        <v>983235</v>
      </c>
      <c r="Q45" s="57"/>
    </row>
    <row r="46" spans="2:17">
      <c r="B46" s="57" t="s">
        <v>121</v>
      </c>
      <c r="C46" s="250">
        <f t="shared" si="5"/>
        <v>983235</v>
      </c>
      <c r="D46" s="57">
        <f t="shared" si="7"/>
        <v>332</v>
      </c>
      <c r="E46" s="64">
        <f>F7</f>
        <v>2250</v>
      </c>
      <c r="F46" s="57">
        <f>F8</f>
        <v>0.9</v>
      </c>
      <c r="G46" s="57">
        <f>F9</f>
        <v>0.9</v>
      </c>
      <c r="H46" s="67">
        <f t="shared" si="1"/>
        <v>605070</v>
      </c>
      <c r="I46" s="57">
        <f>F10</f>
        <v>50</v>
      </c>
      <c r="J46" s="67">
        <f>F11</f>
        <v>5025</v>
      </c>
      <c r="K46" s="57">
        <f>F12</f>
        <v>1</v>
      </c>
      <c r="L46" s="67">
        <f t="shared" si="2"/>
        <v>251250</v>
      </c>
      <c r="M46" s="67">
        <f t="shared" si="3"/>
        <v>1337055</v>
      </c>
      <c r="N46" s="250">
        <f t="shared" si="4"/>
        <v>1337055</v>
      </c>
      <c r="O46" s="67">
        <f t="shared" si="0"/>
        <v>1337055</v>
      </c>
      <c r="Q46" s="57"/>
    </row>
    <row r="47" spans="2:17">
      <c r="B47" s="57" t="s">
        <v>122</v>
      </c>
      <c r="C47" s="250">
        <f t="shared" si="5"/>
        <v>1337055</v>
      </c>
      <c r="D47" s="57">
        <f t="shared" si="7"/>
        <v>179</v>
      </c>
      <c r="E47" s="64">
        <f>F7</f>
        <v>2250</v>
      </c>
      <c r="F47" s="57">
        <f>F8</f>
        <v>0.9</v>
      </c>
      <c r="G47" s="57">
        <f>F9</f>
        <v>0.9</v>
      </c>
      <c r="H47" s="67">
        <f t="shared" si="1"/>
        <v>326227.5</v>
      </c>
      <c r="I47" s="57">
        <f>F10</f>
        <v>50</v>
      </c>
      <c r="J47" s="67">
        <f>F11</f>
        <v>5025</v>
      </c>
      <c r="K47" s="57">
        <f>F12</f>
        <v>1</v>
      </c>
      <c r="L47" s="67">
        <f t="shared" si="2"/>
        <v>251250</v>
      </c>
      <c r="M47" s="67">
        <f t="shared" si="3"/>
        <v>1412032.5</v>
      </c>
      <c r="N47" s="250">
        <f t="shared" si="4"/>
        <v>1412032.5</v>
      </c>
      <c r="O47" s="67">
        <f t="shared" si="0"/>
        <v>1412032.5</v>
      </c>
      <c r="Q47" s="57"/>
    </row>
    <row r="48" spans="2:17">
      <c r="B48" s="57" t="s">
        <v>123</v>
      </c>
      <c r="C48" s="250">
        <f t="shared" si="5"/>
        <v>1412032.5</v>
      </c>
      <c r="D48" s="57">
        <f t="shared" si="7"/>
        <v>234</v>
      </c>
      <c r="E48" s="64">
        <f>F7</f>
        <v>2250</v>
      </c>
      <c r="F48" s="57">
        <f>F8</f>
        <v>0.9</v>
      </c>
      <c r="G48" s="57">
        <f>F9</f>
        <v>0.9</v>
      </c>
      <c r="H48" s="67">
        <f t="shared" si="1"/>
        <v>426465</v>
      </c>
      <c r="I48" s="57">
        <f>F10</f>
        <v>50</v>
      </c>
      <c r="J48" s="67">
        <f>F11</f>
        <v>5025</v>
      </c>
      <c r="K48" s="57">
        <f>F12</f>
        <v>1</v>
      </c>
      <c r="L48" s="67">
        <f t="shared" si="2"/>
        <v>251250</v>
      </c>
      <c r="M48" s="67">
        <f t="shared" si="3"/>
        <v>1587247.5</v>
      </c>
      <c r="N48" s="250">
        <f t="shared" si="4"/>
        <v>1587247.5</v>
      </c>
      <c r="O48" s="67">
        <f t="shared" si="0"/>
        <v>1587247.5</v>
      </c>
      <c r="Q48" s="57"/>
    </row>
    <row r="49" spans="2:17">
      <c r="B49" s="57" t="s">
        <v>124</v>
      </c>
      <c r="C49" s="250">
        <f t="shared" si="5"/>
        <v>1587247.5</v>
      </c>
      <c r="D49" s="57">
        <f t="shared" si="7"/>
        <v>412</v>
      </c>
      <c r="E49" s="64">
        <f>F7</f>
        <v>2250</v>
      </c>
      <c r="F49" s="57">
        <f>F8</f>
        <v>0.9</v>
      </c>
      <c r="G49" s="57">
        <f>F9</f>
        <v>0.9</v>
      </c>
      <c r="H49" s="67">
        <f t="shared" si="1"/>
        <v>750870</v>
      </c>
      <c r="I49" s="57">
        <f>F10</f>
        <v>50</v>
      </c>
      <c r="J49" s="67">
        <f>F11</f>
        <v>5025</v>
      </c>
      <c r="K49" s="57">
        <f>F12</f>
        <v>1</v>
      </c>
      <c r="L49" s="67">
        <f t="shared" si="2"/>
        <v>251250</v>
      </c>
      <c r="M49" s="67">
        <f t="shared" si="3"/>
        <v>2086867.5</v>
      </c>
      <c r="N49" s="250">
        <f t="shared" si="4"/>
        <v>2086867.5</v>
      </c>
      <c r="O49" s="67">
        <f t="shared" si="0"/>
        <v>2086867.5</v>
      </c>
      <c r="Q49" s="57"/>
    </row>
    <row r="50" spans="2:17">
      <c r="B50" s="57" t="s">
        <v>125</v>
      </c>
      <c r="C50" s="250">
        <f t="shared" si="5"/>
        <v>2086867.5</v>
      </c>
      <c r="D50" s="57">
        <f t="shared" si="7"/>
        <v>306</v>
      </c>
      <c r="E50" s="64">
        <f>F7</f>
        <v>2250</v>
      </c>
      <c r="F50" s="57">
        <f>F8</f>
        <v>0.9</v>
      </c>
      <c r="G50" s="57">
        <f>F9</f>
        <v>0.9</v>
      </c>
      <c r="H50" s="67">
        <f t="shared" si="1"/>
        <v>557685</v>
      </c>
      <c r="I50" s="57">
        <f>F10</f>
        <v>50</v>
      </c>
      <c r="J50" s="67">
        <f>F11</f>
        <v>5025</v>
      </c>
      <c r="K50" s="57">
        <f>F12</f>
        <v>1</v>
      </c>
      <c r="L50" s="67">
        <f t="shared" si="2"/>
        <v>251250</v>
      </c>
      <c r="M50" s="67">
        <f t="shared" si="3"/>
        <v>2393302.5</v>
      </c>
      <c r="N50" s="250">
        <f t="shared" si="4"/>
        <v>2393302.5</v>
      </c>
      <c r="O50" s="67">
        <f t="shared" si="0"/>
        <v>2393302.5</v>
      </c>
      <c r="Q50" s="57"/>
    </row>
    <row r="51" spans="2:17">
      <c r="B51" s="57" t="s">
        <v>126</v>
      </c>
      <c r="C51" s="250">
        <f t="shared" si="5"/>
        <v>2393302.5</v>
      </c>
      <c r="D51" s="57">
        <f t="shared" si="7"/>
        <v>59</v>
      </c>
      <c r="E51" s="64">
        <f>F7</f>
        <v>2250</v>
      </c>
      <c r="F51" s="57">
        <f>F8</f>
        <v>0.9</v>
      </c>
      <c r="G51" s="57">
        <f>F9</f>
        <v>0.9</v>
      </c>
      <c r="H51" s="67">
        <f t="shared" si="1"/>
        <v>107527.5</v>
      </c>
      <c r="I51" s="57">
        <f>F10</f>
        <v>50</v>
      </c>
      <c r="J51" s="67">
        <f>F11</f>
        <v>5025</v>
      </c>
      <c r="K51" s="57">
        <f>F12</f>
        <v>1</v>
      </c>
      <c r="L51" s="67">
        <f t="shared" si="2"/>
        <v>251250</v>
      </c>
      <c r="M51" s="67">
        <f t="shared" si="3"/>
        <v>2249580</v>
      </c>
      <c r="N51" s="250">
        <f t="shared" si="4"/>
        <v>2249580</v>
      </c>
      <c r="O51" s="67">
        <f t="shared" si="0"/>
        <v>2249580</v>
      </c>
      <c r="Q51" s="57"/>
    </row>
    <row r="52" spans="2:17">
      <c r="B52" s="14" t="s">
        <v>127</v>
      </c>
      <c r="C52" s="251">
        <f t="shared" si="5"/>
        <v>2249580</v>
      </c>
      <c r="D52" s="14">
        <f t="shared" si="7"/>
        <v>11</v>
      </c>
      <c r="E52" s="117">
        <f>F7</f>
        <v>2250</v>
      </c>
      <c r="F52" s="14">
        <f>F8</f>
        <v>0.9</v>
      </c>
      <c r="G52" s="14">
        <f>F9</f>
        <v>0.9</v>
      </c>
      <c r="H52" s="137">
        <f t="shared" si="1"/>
        <v>20047.5</v>
      </c>
      <c r="I52" s="14">
        <f>F10</f>
        <v>50</v>
      </c>
      <c r="J52" s="137">
        <f>F11</f>
        <v>5025</v>
      </c>
      <c r="K52" s="14">
        <f>F12</f>
        <v>1</v>
      </c>
      <c r="L52" s="137">
        <f t="shared" si="2"/>
        <v>251250</v>
      </c>
      <c r="M52" s="137">
        <f t="shared" si="3"/>
        <v>2018377.5</v>
      </c>
      <c r="N52" s="251">
        <f t="shared" si="4"/>
        <v>2018377.5</v>
      </c>
      <c r="O52" s="137">
        <f t="shared" si="0"/>
        <v>2018377.5</v>
      </c>
      <c r="Q52" s="57"/>
    </row>
    <row r="53" spans="2:17">
      <c r="B53" s="57" t="s">
        <v>116</v>
      </c>
      <c r="C53" s="250">
        <f t="shared" si="5"/>
        <v>2018377.5</v>
      </c>
      <c r="D53" s="57">
        <f t="shared" ref="D53:D64" si="8">D17</f>
        <v>1</v>
      </c>
      <c r="E53" s="64">
        <f>F7</f>
        <v>2250</v>
      </c>
      <c r="F53" s="57">
        <f>F8</f>
        <v>0.9</v>
      </c>
      <c r="G53" s="57">
        <f>F9</f>
        <v>0.9</v>
      </c>
      <c r="H53" s="67">
        <f t="shared" si="1"/>
        <v>1822.5</v>
      </c>
      <c r="I53" s="57">
        <f>F10</f>
        <v>50</v>
      </c>
      <c r="J53" s="67">
        <f>F11</f>
        <v>5025</v>
      </c>
      <c r="K53" s="57">
        <f>F12</f>
        <v>1</v>
      </c>
      <c r="L53" s="67">
        <f t="shared" si="2"/>
        <v>251250</v>
      </c>
      <c r="M53" s="67">
        <f t="shared" si="3"/>
        <v>1768950</v>
      </c>
      <c r="N53" s="250">
        <f t="shared" si="4"/>
        <v>1768950</v>
      </c>
      <c r="O53" s="67">
        <f t="shared" si="0"/>
        <v>1768950</v>
      </c>
      <c r="Q53" s="57"/>
    </row>
    <row r="54" spans="2:17">
      <c r="B54" s="57" t="s">
        <v>117</v>
      </c>
      <c r="C54" s="250">
        <f t="shared" si="5"/>
        <v>1768950</v>
      </c>
      <c r="D54" s="57">
        <f t="shared" si="8"/>
        <v>2</v>
      </c>
      <c r="E54" s="64">
        <f>F7</f>
        <v>2250</v>
      </c>
      <c r="F54" s="57">
        <f>F8</f>
        <v>0.9</v>
      </c>
      <c r="G54" s="57">
        <f>F9</f>
        <v>0.9</v>
      </c>
      <c r="H54" s="67">
        <f t="shared" si="1"/>
        <v>3645</v>
      </c>
      <c r="I54" s="57">
        <f>F10</f>
        <v>50</v>
      </c>
      <c r="J54" s="67">
        <f>F11</f>
        <v>5025</v>
      </c>
      <c r="K54" s="57">
        <f>F12</f>
        <v>1</v>
      </c>
      <c r="L54" s="67">
        <f t="shared" si="2"/>
        <v>251250</v>
      </c>
      <c r="M54" s="67">
        <f t="shared" si="3"/>
        <v>1521345</v>
      </c>
      <c r="N54" s="250">
        <f t="shared" si="4"/>
        <v>1521345</v>
      </c>
      <c r="O54" s="67">
        <f t="shared" si="0"/>
        <v>1521345</v>
      </c>
      <c r="Q54" s="57"/>
    </row>
    <row r="55" spans="2:17">
      <c r="B55" s="57" t="s">
        <v>118</v>
      </c>
      <c r="C55" s="250">
        <f t="shared" si="5"/>
        <v>1521345</v>
      </c>
      <c r="D55" s="57">
        <f t="shared" si="8"/>
        <v>9</v>
      </c>
      <c r="E55" s="64">
        <f>F7</f>
        <v>2250</v>
      </c>
      <c r="F55" s="57">
        <f>F8</f>
        <v>0.9</v>
      </c>
      <c r="G55" s="57">
        <f>F9</f>
        <v>0.9</v>
      </c>
      <c r="H55" s="67">
        <f t="shared" si="1"/>
        <v>16402.5</v>
      </c>
      <c r="I55" s="57">
        <f>F10</f>
        <v>50</v>
      </c>
      <c r="J55" s="67">
        <f>F11</f>
        <v>5025</v>
      </c>
      <c r="K55" s="57">
        <f>F12</f>
        <v>1</v>
      </c>
      <c r="L55" s="67">
        <f t="shared" si="2"/>
        <v>251250</v>
      </c>
      <c r="M55" s="67">
        <f t="shared" si="3"/>
        <v>1286497.5</v>
      </c>
      <c r="N55" s="250">
        <f t="shared" si="4"/>
        <v>1286497.5</v>
      </c>
      <c r="O55" s="67">
        <f t="shared" si="0"/>
        <v>1286497.5</v>
      </c>
      <c r="Q55" s="57"/>
    </row>
    <row r="56" spans="2:17">
      <c r="B56" s="57" t="s">
        <v>119</v>
      </c>
      <c r="C56" s="250">
        <f t="shared" si="5"/>
        <v>1286497.5</v>
      </c>
      <c r="D56" s="57">
        <f t="shared" si="8"/>
        <v>34</v>
      </c>
      <c r="E56" s="64">
        <f>F7</f>
        <v>2250</v>
      </c>
      <c r="F56" s="57">
        <f>F8</f>
        <v>0.9</v>
      </c>
      <c r="G56" s="57">
        <f>F9</f>
        <v>0.9</v>
      </c>
      <c r="H56" s="67">
        <f t="shared" si="1"/>
        <v>61965</v>
      </c>
      <c r="I56" s="57">
        <f>F10</f>
        <v>50</v>
      </c>
      <c r="J56" s="67">
        <f>F11</f>
        <v>5025</v>
      </c>
      <c r="K56" s="57">
        <f>F12</f>
        <v>1</v>
      </c>
      <c r="L56" s="67">
        <f t="shared" si="2"/>
        <v>251250</v>
      </c>
      <c r="M56" s="67">
        <f t="shared" si="3"/>
        <v>1097212.5</v>
      </c>
      <c r="N56" s="250">
        <f t="shared" si="4"/>
        <v>1097212.5</v>
      </c>
      <c r="O56" s="67">
        <f t="shared" si="0"/>
        <v>1097212.5</v>
      </c>
      <c r="Q56" s="57"/>
    </row>
    <row r="57" spans="2:17">
      <c r="B57" s="57" t="s">
        <v>120</v>
      </c>
      <c r="C57" s="250">
        <f t="shared" si="5"/>
        <v>1097212.5</v>
      </c>
      <c r="D57" s="57">
        <f t="shared" si="8"/>
        <v>276</v>
      </c>
      <c r="E57" s="64">
        <f>F7</f>
        <v>2250</v>
      </c>
      <c r="F57" s="57">
        <f>F8</f>
        <v>0.9</v>
      </c>
      <c r="G57" s="57">
        <f>F9</f>
        <v>0.9</v>
      </c>
      <c r="H57" s="67">
        <f t="shared" si="1"/>
        <v>503010</v>
      </c>
      <c r="I57" s="57">
        <f>F10</f>
        <v>50</v>
      </c>
      <c r="J57" s="67">
        <f>F11</f>
        <v>5025</v>
      </c>
      <c r="K57" s="57">
        <f>F12</f>
        <v>1</v>
      </c>
      <c r="L57" s="67">
        <f t="shared" si="2"/>
        <v>251250</v>
      </c>
      <c r="M57" s="67">
        <f t="shared" si="3"/>
        <v>1348972.5</v>
      </c>
      <c r="N57" s="250">
        <f t="shared" si="4"/>
        <v>1348972.5</v>
      </c>
      <c r="O57" s="67">
        <f t="shared" si="0"/>
        <v>1348972.5</v>
      </c>
      <c r="Q57" s="57"/>
    </row>
    <row r="58" spans="2:17">
      <c r="B58" s="57" t="s">
        <v>121</v>
      </c>
      <c r="C58" s="250">
        <f t="shared" si="5"/>
        <v>1348972.5</v>
      </c>
      <c r="D58" s="57">
        <f t="shared" si="8"/>
        <v>332</v>
      </c>
      <c r="E58" s="64">
        <f>F7</f>
        <v>2250</v>
      </c>
      <c r="F58" s="57">
        <f>F8</f>
        <v>0.9</v>
      </c>
      <c r="G58" s="57">
        <f>F9</f>
        <v>0.9</v>
      </c>
      <c r="H58" s="67">
        <f t="shared" si="1"/>
        <v>605070</v>
      </c>
      <c r="I58" s="57">
        <f>F10</f>
        <v>50</v>
      </c>
      <c r="J58" s="67">
        <f>F11</f>
        <v>5025</v>
      </c>
      <c r="K58" s="57">
        <f>F12</f>
        <v>1</v>
      </c>
      <c r="L58" s="67">
        <f t="shared" si="2"/>
        <v>251250</v>
      </c>
      <c r="M58" s="67">
        <f t="shared" si="3"/>
        <v>1702792.5</v>
      </c>
      <c r="N58" s="250">
        <f t="shared" si="4"/>
        <v>1702792.5</v>
      </c>
      <c r="O58" s="67">
        <f t="shared" si="0"/>
        <v>1702792.5</v>
      </c>
      <c r="Q58" s="57"/>
    </row>
    <row r="59" spans="2:17">
      <c r="B59" s="57" t="s">
        <v>122</v>
      </c>
      <c r="C59" s="250">
        <f t="shared" si="5"/>
        <v>1702792.5</v>
      </c>
      <c r="D59" s="57">
        <f t="shared" si="8"/>
        <v>179</v>
      </c>
      <c r="E59" s="64">
        <f>F7</f>
        <v>2250</v>
      </c>
      <c r="F59" s="57">
        <f>F8</f>
        <v>0.9</v>
      </c>
      <c r="G59" s="57">
        <f>F9</f>
        <v>0.9</v>
      </c>
      <c r="H59" s="67">
        <f t="shared" si="1"/>
        <v>326227.5</v>
      </c>
      <c r="I59" s="57">
        <f>F10</f>
        <v>50</v>
      </c>
      <c r="J59" s="67">
        <f>F11</f>
        <v>5025</v>
      </c>
      <c r="K59" s="57">
        <f>F12</f>
        <v>1</v>
      </c>
      <c r="L59" s="67">
        <f t="shared" si="2"/>
        <v>251250</v>
      </c>
      <c r="M59" s="67">
        <f t="shared" si="3"/>
        <v>1777770</v>
      </c>
      <c r="N59" s="250">
        <f t="shared" si="4"/>
        <v>1777770</v>
      </c>
      <c r="O59" s="67">
        <f t="shared" si="0"/>
        <v>1777770</v>
      </c>
      <c r="Q59" s="57"/>
    </row>
    <row r="60" spans="2:17">
      <c r="B60" s="57" t="s">
        <v>123</v>
      </c>
      <c r="C60" s="250">
        <f t="shared" si="5"/>
        <v>1777770</v>
      </c>
      <c r="D60" s="57">
        <f t="shared" si="8"/>
        <v>234</v>
      </c>
      <c r="E60" s="64">
        <f>F7</f>
        <v>2250</v>
      </c>
      <c r="F60" s="57">
        <f>F8</f>
        <v>0.9</v>
      </c>
      <c r="G60" s="57">
        <f>F9</f>
        <v>0.9</v>
      </c>
      <c r="H60" s="67">
        <f t="shared" si="1"/>
        <v>426465</v>
      </c>
      <c r="I60" s="57">
        <f>F10</f>
        <v>50</v>
      </c>
      <c r="J60" s="67">
        <f>F11</f>
        <v>5025</v>
      </c>
      <c r="K60" s="57">
        <f>F12</f>
        <v>1</v>
      </c>
      <c r="L60" s="67">
        <f t="shared" si="2"/>
        <v>251250</v>
      </c>
      <c r="M60" s="67">
        <f t="shared" si="3"/>
        <v>1952985</v>
      </c>
      <c r="N60" s="250">
        <f t="shared" si="4"/>
        <v>1952985</v>
      </c>
      <c r="O60" s="67">
        <f t="shared" si="0"/>
        <v>1952985</v>
      </c>
      <c r="Q60" s="57"/>
    </row>
    <row r="61" spans="2:17">
      <c r="B61" s="57" t="s">
        <v>124</v>
      </c>
      <c r="C61" s="250">
        <f t="shared" si="5"/>
        <v>1952985</v>
      </c>
      <c r="D61" s="57">
        <f t="shared" si="8"/>
        <v>412</v>
      </c>
      <c r="E61" s="64">
        <f>F7</f>
        <v>2250</v>
      </c>
      <c r="F61" s="57">
        <f>F8</f>
        <v>0.9</v>
      </c>
      <c r="G61" s="57">
        <f>F9</f>
        <v>0.9</v>
      </c>
      <c r="H61" s="67">
        <f t="shared" si="1"/>
        <v>750870</v>
      </c>
      <c r="I61" s="57">
        <f>F10</f>
        <v>50</v>
      </c>
      <c r="J61" s="67">
        <f>F11</f>
        <v>5025</v>
      </c>
      <c r="K61" s="57">
        <f>F12</f>
        <v>1</v>
      </c>
      <c r="L61" s="67">
        <f t="shared" si="2"/>
        <v>251250</v>
      </c>
      <c r="M61" s="67">
        <f t="shared" si="3"/>
        <v>2452605</v>
      </c>
      <c r="N61" s="250">
        <f t="shared" si="4"/>
        <v>2452605</v>
      </c>
      <c r="O61" s="67">
        <f t="shared" si="0"/>
        <v>2452605</v>
      </c>
      <c r="Q61" s="57"/>
    </row>
    <row r="62" spans="2:17">
      <c r="B62" s="57" t="s">
        <v>125</v>
      </c>
      <c r="C62" s="250">
        <f t="shared" si="5"/>
        <v>2452605</v>
      </c>
      <c r="D62" s="57">
        <f t="shared" si="8"/>
        <v>306</v>
      </c>
      <c r="E62" s="64">
        <f>F7</f>
        <v>2250</v>
      </c>
      <c r="F62" s="57">
        <f>F8</f>
        <v>0.9</v>
      </c>
      <c r="G62" s="57">
        <f>F9</f>
        <v>0.9</v>
      </c>
      <c r="H62" s="67">
        <f t="shared" si="1"/>
        <v>557685</v>
      </c>
      <c r="I62" s="57">
        <f>F10</f>
        <v>50</v>
      </c>
      <c r="J62" s="67">
        <f>F11</f>
        <v>5025</v>
      </c>
      <c r="K62" s="57">
        <f>F12</f>
        <v>1</v>
      </c>
      <c r="L62" s="67">
        <f t="shared" si="2"/>
        <v>251250</v>
      </c>
      <c r="M62" s="67">
        <f t="shared" si="3"/>
        <v>2759040</v>
      </c>
      <c r="N62" s="250">
        <f t="shared" si="4"/>
        <v>2759040</v>
      </c>
      <c r="O62" s="67">
        <f t="shared" si="0"/>
        <v>2759040</v>
      </c>
      <c r="Q62" s="57"/>
    </row>
    <row r="63" spans="2:17">
      <c r="B63" s="57" t="s">
        <v>126</v>
      </c>
      <c r="C63" s="250">
        <f t="shared" si="5"/>
        <v>2759040</v>
      </c>
      <c r="D63" s="57">
        <f t="shared" si="8"/>
        <v>59</v>
      </c>
      <c r="E63" s="64">
        <f>F7</f>
        <v>2250</v>
      </c>
      <c r="F63" s="57">
        <f>F8</f>
        <v>0.9</v>
      </c>
      <c r="G63" s="57">
        <f>F9</f>
        <v>0.9</v>
      </c>
      <c r="H63" s="67">
        <f t="shared" si="1"/>
        <v>107527.5</v>
      </c>
      <c r="I63" s="57">
        <f>F10</f>
        <v>50</v>
      </c>
      <c r="J63" s="67">
        <f>F11</f>
        <v>5025</v>
      </c>
      <c r="K63" s="57">
        <f>F12</f>
        <v>1</v>
      </c>
      <c r="L63" s="67">
        <f t="shared" si="2"/>
        <v>251250</v>
      </c>
      <c r="M63" s="67">
        <f t="shared" si="3"/>
        <v>2615317.5</v>
      </c>
      <c r="N63" s="250">
        <f t="shared" si="4"/>
        <v>2615317.5</v>
      </c>
      <c r="O63" s="67">
        <f t="shared" si="0"/>
        <v>2615317.5</v>
      </c>
      <c r="Q63" s="57"/>
    </row>
    <row r="64" spans="2:17">
      <c r="B64" s="57" t="s">
        <v>127</v>
      </c>
      <c r="C64" s="250">
        <f t="shared" si="5"/>
        <v>2615317.5</v>
      </c>
      <c r="D64" s="57">
        <f t="shared" si="8"/>
        <v>11</v>
      </c>
      <c r="E64" s="64">
        <f>F7</f>
        <v>2250</v>
      </c>
      <c r="F64" s="57">
        <f>F8</f>
        <v>0.9</v>
      </c>
      <c r="G64" s="57">
        <f>F9</f>
        <v>0.9</v>
      </c>
      <c r="H64" s="67">
        <f t="shared" si="1"/>
        <v>20047.5</v>
      </c>
      <c r="I64" s="57">
        <f>F10</f>
        <v>50</v>
      </c>
      <c r="J64" s="67">
        <f>F11</f>
        <v>5025</v>
      </c>
      <c r="K64" s="57">
        <f>F12</f>
        <v>1</v>
      </c>
      <c r="L64" s="67">
        <f t="shared" si="2"/>
        <v>251250</v>
      </c>
      <c r="M64" s="67">
        <f t="shared" si="3"/>
        <v>2384115</v>
      </c>
      <c r="N64" s="250">
        <f t="shared" si="4"/>
        <v>2384115</v>
      </c>
      <c r="O64" s="67">
        <f t="shared" si="0"/>
        <v>2384115</v>
      </c>
      <c r="Q64" s="57"/>
    </row>
    <row r="65" spans="2:17">
      <c r="B65" s="57"/>
      <c r="C65" s="57"/>
      <c r="D65" s="57"/>
      <c r="E65" s="57"/>
      <c r="F65" s="57"/>
      <c r="G65" s="57"/>
      <c r="H65" s="67">
        <f>SUM(H53:H64)</f>
        <v>3380737.5</v>
      </c>
      <c r="I65" s="81"/>
      <c r="J65" s="57"/>
      <c r="K65" s="57"/>
      <c r="L65" s="57"/>
      <c r="M65" s="57"/>
      <c r="N65" s="57"/>
      <c r="O65" s="57"/>
      <c r="Q65" s="57"/>
    </row>
    <row r="66" spans="2:17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7"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7"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7"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7"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7"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7"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7"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7"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7"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7"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7"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7"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7"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3:15"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3:15"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3:15"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3:15"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3:15"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3:15"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3:15"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3:15"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3:15"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3:15"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3:15"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3:15"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3:15"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3:15"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3:15"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3:15"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3:15"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3:15"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3:15"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3:15"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3:15"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3:15"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3:15"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3:15"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3:15"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3:15"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3:15"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3:15"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3:15"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3:15"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3:15"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</row>
    <row r="112" spans="3:15"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</row>
    <row r="113" spans="3:15"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</row>
    <row r="114" spans="3:15"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</row>
    <row r="115" spans="3:15"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</row>
    <row r="116" spans="3:15"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</row>
    <row r="117" spans="3:15"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</row>
    <row r="118" spans="3:15"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</row>
    <row r="119" spans="3:15"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</row>
    <row r="120" spans="3:15"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</row>
    <row r="121" spans="3:15"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</row>
    <row r="122" spans="3:15"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</row>
    <row r="123" spans="3:15"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</row>
    <row r="124" spans="3:15"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</row>
    <row r="125" spans="3:15"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</row>
    <row r="126" spans="3:15"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</row>
    <row r="127" spans="3:15"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</row>
    <row r="128" spans="3:15"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</row>
    <row r="129" spans="3:15"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</row>
    <row r="130" spans="3:15"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</row>
    <row r="131" spans="3:15"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</row>
    <row r="132" spans="3:15"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</row>
    <row r="133" spans="3:15"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</row>
    <row r="134" spans="3:15"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</row>
    <row r="135" spans="3:15"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</row>
    <row r="136" spans="3:15"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</row>
    <row r="137" spans="3:15"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</row>
    <row r="138" spans="3:15"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</row>
    <row r="139" spans="3:15"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</row>
    <row r="140" spans="3:15"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</row>
    <row r="141" spans="3:15"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</row>
    <row r="142" spans="3:15"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</row>
    <row r="143" spans="3:15"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</row>
    <row r="144" spans="3:15"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</row>
    <row r="145" spans="3:15"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</row>
    <row r="146" spans="3:15"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</row>
    <row r="147" spans="3:15"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</row>
    <row r="148" spans="3:15"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</row>
    <row r="149" spans="3:15"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</row>
    <row r="150" spans="3:15"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</row>
    <row r="151" spans="3:15"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</row>
    <row r="152" spans="3:15"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</row>
    <row r="153" spans="3:15"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</row>
    <row r="154" spans="3:15"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</row>
    <row r="155" spans="3:15"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</row>
    <row r="156" spans="3:15"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</row>
    <row r="157" spans="3:15"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</row>
    <row r="158" spans="3:15"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</row>
    <row r="159" spans="3:15"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</row>
    <row r="160" spans="3:15"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</row>
    <row r="161" spans="3:15"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</row>
    <row r="162" spans="3:15"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</row>
    <row r="163" spans="3:15"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</row>
    <row r="164" spans="3:15"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</row>
    <row r="165" spans="3:15"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</row>
    <row r="166" spans="3:15"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</row>
  </sheetData>
  <conditionalFormatting sqref="M17:M64">
    <cfRule type="cellIs" dxfId="2" priority="2" operator="lessThanOrEqual">
      <formula>0</formula>
    </cfRule>
    <cfRule type="cellIs" dxfId="1" priority="3" operator="lessThanOrEqual">
      <formula>$F$13*0.1</formula>
    </cfRule>
  </conditionalFormatting>
  <conditionalFormatting sqref="O17:O64">
    <cfRule type="cellIs" dxfId="0" priority="1" operator="greaterThanOrEqual">
      <formula>$F$13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'Hidden input'!$A$14:$A$15</xm:f>
          </x14:formula1>
          <xm:sqref>C6</xm:sqref>
        </x14:dataValidation>
        <x14:dataValidation type="list" allowBlank="1" showInputMessage="1" showErrorMessage="1">
          <x14:formula1>
            <xm:f>'Hidden input'!$B$7:$B$8</xm:f>
          </x14:formula1>
          <xm:sqref>C5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Total_overview</vt:lpstr>
      <vt:lpstr>Real Estate</vt:lpstr>
      <vt:lpstr>Feasibility</vt:lpstr>
      <vt:lpstr>Energy Demand</vt:lpstr>
      <vt:lpstr>Water Demand</vt:lpstr>
      <vt:lpstr>Systems</vt:lpstr>
      <vt:lpstr>Rainwater collection Residentia</vt:lpstr>
      <vt:lpstr>Rainwater collection Office</vt:lpstr>
      <vt:lpstr>Rainwater collection Hotel</vt:lpstr>
      <vt:lpstr>Hidden input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Czapiewska</dc:creator>
  <cp:lastModifiedBy>New User</cp:lastModifiedBy>
  <cp:lastPrinted>2013-12-17T13:23:54Z</cp:lastPrinted>
  <dcterms:created xsi:type="dcterms:W3CDTF">2013-09-10T13:49:54Z</dcterms:created>
  <dcterms:modified xsi:type="dcterms:W3CDTF">2013-12-19T02:26:19Z</dcterms:modified>
</cp:coreProperties>
</file>